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filterPrivacy="1" defaultThemeVersion="124226"/>
  <xr:revisionPtr revIDLastSave="0" documentId="13_ncr:9_{87596DD2-13A3-417B-8F96-DE04B8C13573}" xr6:coauthVersionLast="46" xr6:coauthVersionMax="46" xr10:uidLastSave="{00000000-0000-0000-0000-000000000000}"/>
  <bookViews>
    <workbookView xWindow="852" yWindow="-108" windowWidth="22296" windowHeight="13176" xr2:uid="{00000000-000D-0000-FFFF-FFFF00000000}"/>
  </bookViews>
  <sheets>
    <sheet name="summary" sheetId="22" r:id="rId1"/>
    <sheet name="elec" sheetId="23" r:id="rId2"/>
    <sheet name="GHGI" sheetId="24" r:id="rId3"/>
    <sheet name="Dams" sheetId="25" r:id="rId4"/>
    <sheet name="density" sheetId="26" r:id="rId5"/>
  </sheets>
  <definedNames>
    <definedName name="_xlnm.Print_Area" localSheetId="2">GHGI!$A$76:$H$109</definedName>
    <definedName name="_xlnm.Print_Area" localSheetId="0">summary!$A:$K</definedName>
  </definedNames>
  <calcPr calcId="191029"/>
  <fileRecoveryPr autoRecover="0"/>
</workbook>
</file>

<file path=xl/calcChain.xml><?xml version="1.0" encoding="utf-8"?>
<calcChain xmlns="http://schemas.openxmlformats.org/spreadsheetml/2006/main">
  <c r="L41" i="26" l="1"/>
  <c r="L42" i="26"/>
  <c r="L39" i="26"/>
  <c r="L40" i="26"/>
  <c r="F42" i="26"/>
  <c r="G42" i="26"/>
  <c r="H42" i="26"/>
  <c r="I42" i="26"/>
  <c r="J42" i="26"/>
  <c r="K42" i="26"/>
  <c r="G41" i="26"/>
  <c r="H41" i="26"/>
  <c r="I41" i="26"/>
  <c r="J41" i="26"/>
  <c r="K41" i="26"/>
  <c r="F41" i="26"/>
  <c r="K39" i="26"/>
  <c r="K40" i="26"/>
  <c r="F40" i="26"/>
  <c r="G40" i="26"/>
  <c r="H40" i="26"/>
  <c r="I40" i="26"/>
  <c r="J40" i="26"/>
  <c r="G39" i="26"/>
  <c r="H39" i="26"/>
  <c r="I39" i="26"/>
  <c r="J39" i="26"/>
  <c r="F39" i="26"/>
  <c r="D40" i="26"/>
  <c r="D39" i="26"/>
  <c r="D38" i="26"/>
  <c r="I48" i="25" l="1"/>
  <c r="I49" i="25"/>
  <c r="I50" i="25"/>
  <c r="I51" i="25"/>
  <c r="I52" i="25"/>
  <c r="I47" i="25"/>
  <c r="G47" i="25" l="1"/>
  <c r="F48" i="25"/>
  <c r="G48" i="25" s="1"/>
  <c r="F49" i="25"/>
  <c r="G49" i="25" s="1"/>
  <c r="B31" i="25"/>
  <c r="B32" i="25"/>
  <c r="B33" i="25"/>
  <c r="F50" i="25" s="1"/>
  <c r="G50" i="25" s="1"/>
  <c r="B34" i="25"/>
  <c r="F51" i="25" s="1"/>
  <c r="G51" i="25" s="1"/>
  <c r="B35" i="25"/>
  <c r="F52" i="25" s="1"/>
  <c r="G52" i="25" s="1"/>
  <c r="B30" i="25"/>
  <c r="F47" i="25"/>
  <c r="D112" i="22"/>
  <c r="D111" i="22"/>
  <c r="F71" i="22"/>
  <c r="F73" i="22" s="1"/>
  <c r="F70" i="22"/>
  <c r="F12" i="25"/>
  <c r="K12" i="25" s="1"/>
  <c r="L12" i="25" s="1"/>
  <c r="B12" i="25" s="1"/>
  <c r="H40" i="25"/>
  <c r="H43" i="25"/>
  <c r="K39" i="25"/>
  <c r="H39" i="25" s="1"/>
  <c r="K40" i="25"/>
  <c r="K41" i="25"/>
  <c r="H41" i="25" s="1"/>
  <c r="K42" i="25"/>
  <c r="H42" i="25" s="1"/>
  <c r="K43" i="25"/>
  <c r="K38" i="25"/>
  <c r="H38" i="25"/>
  <c r="J39" i="25"/>
  <c r="I39" i="25" s="1"/>
  <c r="G39" i="25" s="1"/>
  <c r="J40" i="25"/>
  <c r="I40" i="25" s="1"/>
  <c r="G40" i="25" s="1"/>
  <c r="J41" i="25"/>
  <c r="I41" i="25" s="1"/>
  <c r="G41" i="25" s="1"/>
  <c r="J42" i="25"/>
  <c r="I42" i="25" s="1"/>
  <c r="J43" i="25"/>
  <c r="E43" i="25" s="1"/>
  <c r="J38" i="25"/>
  <c r="I38" i="25"/>
  <c r="G38" i="25"/>
  <c r="E38" i="25"/>
  <c r="E42" i="25"/>
  <c r="A31" i="25"/>
  <c r="A32" i="25"/>
  <c r="A33" i="25"/>
  <c r="A34" i="25"/>
  <c r="A35" i="25"/>
  <c r="A30" i="25"/>
  <c r="BE26" i="25"/>
  <c r="BD26" i="25"/>
  <c r="BC26" i="25"/>
  <c r="E26" i="25"/>
  <c r="D26" i="25"/>
  <c r="BE25" i="25"/>
  <c r="BD25" i="25"/>
  <c r="BC25" i="25"/>
  <c r="E25" i="25"/>
  <c r="D25" i="25"/>
  <c r="BE24" i="25"/>
  <c r="BD24" i="25"/>
  <c r="BC24" i="25"/>
  <c r="E24" i="25"/>
  <c r="D24" i="25"/>
  <c r="BE23" i="25"/>
  <c r="BD23" i="25"/>
  <c r="BC23" i="25"/>
  <c r="E23" i="25"/>
  <c r="D23" i="25"/>
  <c r="BE22" i="25"/>
  <c r="BD22" i="25"/>
  <c r="BC22" i="25"/>
  <c r="E22" i="25"/>
  <c r="D22" i="25"/>
  <c r="BE21" i="25"/>
  <c r="BD21" i="25"/>
  <c r="BC21" i="25"/>
  <c r="E21" i="25"/>
  <c r="D21" i="25"/>
  <c r="F100" i="22"/>
  <c r="G100" i="22"/>
  <c r="H100" i="22"/>
  <c r="E100" i="22"/>
  <c r="C115" i="22"/>
  <c r="C116" i="22"/>
  <c r="C117" i="22"/>
  <c r="C118" i="22"/>
  <c r="C114" i="22"/>
  <c r="C113" i="22"/>
  <c r="G37" i="26"/>
  <c r="H37" i="26" s="1"/>
  <c r="B47" i="26"/>
  <c r="B49" i="26"/>
  <c r="C47" i="26"/>
  <c r="B46" i="26"/>
  <c r="B48" i="26" s="1"/>
  <c r="C43" i="26"/>
  <c r="C44" i="26" s="1"/>
  <c r="D43" i="26"/>
  <c r="E43" i="26" s="1"/>
  <c r="B52" i="26"/>
  <c r="D55" i="22"/>
  <c r="D56" i="22"/>
  <c r="D45" i="22"/>
  <c r="A110" i="22"/>
  <c r="K101" i="22"/>
  <c r="K102" i="22"/>
  <c r="F72" i="22"/>
  <c r="G12" i="25"/>
  <c r="H12" i="25" s="1"/>
  <c r="I12" i="25" s="1"/>
  <c r="E78" i="22"/>
  <c r="C78" i="22"/>
  <c r="D58" i="22"/>
  <c r="D59" i="22"/>
  <c r="D60" i="22"/>
  <c r="C86" i="22"/>
  <c r="D86" i="22"/>
  <c r="C87" i="22"/>
  <c r="D87" i="22"/>
  <c r="C85" i="22"/>
  <c r="D85" i="22"/>
  <c r="B88" i="22"/>
  <c r="C88" i="22"/>
  <c r="D88" i="22"/>
  <c r="E88" i="22"/>
  <c r="A109" i="22"/>
  <c r="A121" i="22"/>
  <c r="A108" i="22"/>
  <c r="C129" i="22"/>
  <c r="B112" i="22"/>
  <c r="C128" i="22"/>
  <c r="B111" i="22"/>
  <c r="C127" i="22"/>
  <c r="B110" i="22"/>
  <c r="C126" i="22"/>
  <c r="B109" i="22"/>
  <c r="C125" i="22"/>
  <c r="B108" i="22"/>
  <c r="C130" i="22"/>
  <c r="B121" i="22"/>
  <c r="B11" i="22"/>
  <c r="B93" i="22"/>
  <c r="D35" i="22"/>
  <c r="C35" i="22"/>
  <c r="I101" i="24"/>
  <c r="C38" i="22"/>
  <c r="I102" i="24"/>
  <c r="I103" i="24"/>
  <c r="I104" i="24"/>
  <c r="D38" i="22"/>
  <c r="D40" i="22"/>
  <c r="D44" i="22"/>
  <c r="I105" i="24"/>
  <c r="I100" i="24"/>
  <c r="E38" i="22"/>
  <c r="E39" i="22"/>
  <c r="E32" i="22"/>
  <c r="E36" i="22"/>
  <c r="C32" i="22"/>
  <c r="E31" i="22"/>
  <c r="D31" i="22"/>
  <c r="C31" i="22"/>
  <c r="I86" i="24"/>
  <c r="I88" i="24"/>
  <c r="I85" i="24"/>
  <c r="A44" i="22"/>
  <c r="J99" i="22"/>
  <c r="I99" i="22"/>
  <c r="C64" i="22"/>
  <c r="E64" i="22"/>
  <c r="E53" i="22"/>
  <c r="E42" i="22"/>
  <c r="D57" i="22"/>
  <c r="D61" i="22"/>
  <c r="E43" i="22"/>
  <c r="C43" i="22"/>
  <c r="E33" i="22"/>
  <c r="C33" i="22"/>
  <c r="C36" i="22"/>
  <c r="C42" i="22"/>
  <c r="E79" i="22"/>
  <c r="J102" i="22"/>
  <c r="J101" i="22"/>
  <c r="B79" i="22"/>
  <c r="B80" i="22"/>
  <c r="L22" i="26"/>
  <c r="L21" i="26"/>
  <c r="L19" i="26"/>
  <c r="L18" i="26"/>
  <c r="L16" i="26"/>
  <c r="L2" i="26"/>
  <c r="C16" i="26"/>
  <c r="O16" i="26" s="1"/>
  <c r="L12" i="26"/>
  <c r="L4" i="26"/>
  <c r="L15" i="26"/>
  <c r="L17" i="26"/>
  <c r="L3" i="26"/>
  <c r="L14" i="26"/>
  <c r="L10" i="26"/>
  <c r="C10" i="26"/>
  <c r="O10" i="26" s="1"/>
  <c r="C4" i="26"/>
  <c r="C15" i="26"/>
  <c r="C17" i="26"/>
  <c r="C3" i="26"/>
  <c r="O3" i="26" s="1"/>
  <c r="C14" i="26"/>
  <c r="M14" i="26" s="1"/>
  <c r="L8" i="26"/>
  <c r="L20" i="26"/>
  <c r="L6" i="26"/>
  <c r="L5" i="26"/>
  <c r="L9" i="26"/>
  <c r="L7" i="26"/>
  <c r="M7" i="26" s="1"/>
  <c r="C12" i="26"/>
  <c r="M12" i="26" s="1"/>
  <c r="L11" i="26"/>
  <c r="L13" i="26"/>
  <c r="C18" i="26"/>
  <c r="C32" i="26"/>
  <c r="M32" i="26" s="1"/>
  <c r="O32" i="26"/>
  <c r="C9" i="26"/>
  <c r="O9" i="26" s="1"/>
  <c r="C5" i="26"/>
  <c r="M5" i="26" s="1"/>
  <c r="C6" i="26"/>
  <c r="O6" i="26" s="1"/>
  <c r="C11" i="26"/>
  <c r="M11" i="26" s="1"/>
  <c r="C8" i="26"/>
  <c r="M8" i="26" s="1"/>
  <c r="C13" i="26"/>
  <c r="M13" i="26" s="1"/>
  <c r="C7" i="26"/>
  <c r="C2" i="26"/>
  <c r="O2" i="26" s="1"/>
  <c r="O7" i="26"/>
  <c r="C47" i="22"/>
  <c r="E101" i="22"/>
  <c r="F101" i="22"/>
  <c r="B81" i="22"/>
  <c r="M4" i="26"/>
  <c r="C54" i="22"/>
  <c r="E54" i="22"/>
  <c r="E12" i="25"/>
  <c r="C4" i="25"/>
  <c r="C10" i="25"/>
  <c r="C16" i="25"/>
  <c r="B4" i="25"/>
  <c r="B8" i="25"/>
  <c r="E55" i="22"/>
  <c r="E56" i="22"/>
  <c r="E67" i="22"/>
  <c r="E60" i="22"/>
  <c r="G101" i="22"/>
  <c r="E63" i="22"/>
  <c r="E65" i="22"/>
  <c r="E58" i="22"/>
  <c r="H20" i="24"/>
  <c r="D22" i="22"/>
  <c r="D21" i="22"/>
  <c r="C22" i="22"/>
  <c r="C21" i="22"/>
  <c r="E22" i="22"/>
  <c r="E21" i="22"/>
  <c r="B17" i="22"/>
  <c r="C53" i="22"/>
  <c r="C55" i="22"/>
  <c r="E26" i="22"/>
  <c r="B21" i="22"/>
  <c r="C56" i="22"/>
  <c r="C67" i="22"/>
  <c r="C68" i="22"/>
  <c r="C39" i="22"/>
  <c r="C50" i="22"/>
  <c r="H96" i="22"/>
  <c r="I102" i="22"/>
  <c r="H95" i="22"/>
  <c r="I101" i="22"/>
  <c r="C63" i="22"/>
  <c r="C65" i="22"/>
  <c r="C60" i="22"/>
  <c r="H101" i="22"/>
  <c r="F24" i="23"/>
  <c r="F25" i="23"/>
  <c r="F23" i="23"/>
  <c r="K31" i="24"/>
  <c r="K32" i="24"/>
  <c r="K33" i="24"/>
  <c r="K34" i="24"/>
  <c r="K35" i="24"/>
  <c r="K36" i="24"/>
  <c r="K30" i="24"/>
  <c r="J37" i="24"/>
  <c r="I37" i="24"/>
  <c r="H16" i="24"/>
  <c r="H19" i="24"/>
  <c r="C20" i="22"/>
  <c r="H18" i="24"/>
  <c r="E20" i="22"/>
  <c r="E27" i="22"/>
  <c r="E40" i="22"/>
  <c r="E68" i="22"/>
  <c r="E44" i="22"/>
  <c r="C46" i="22"/>
  <c r="E103" i="22"/>
  <c r="J88" i="24"/>
  <c r="K37" i="24"/>
  <c r="B23" i="22"/>
  <c r="B20" i="22"/>
  <c r="B22" i="22"/>
  <c r="C23" i="22"/>
  <c r="D23" i="22"/>
  <c r="E1" i="24"/>
  <c r="F1" i="24"/>
  <c r="G1" i="24"/>
  <c r="H1" i="24"/>
  <c r="D7" i="22"/>
  <c r="F38" i="22"/>
  <c r="J104" i="24"/>
  <c r="K104" i="24"/>
  <c r="J101" i="24"/>
  <c r="K101" i="24"/>
  <c r="C5" i="22"/>
  <c r="C8" i="22"/>
  <c r="E8" i="22"/>
  <c r="B8" i="22"/>
  <c r="D6" i="22"/>
  <c r="D26" i="22"/>
  <c r="J100" i="24"/>
  <c r="K100" i="24"/>
  <c r="C9" i="22"/>
  <c r="C10" i="22"/>
  <c r="E59" i="22"/>
  <c r="C59" i="22"/>
  <c r="E9" i="22"/>
  <c r="B38" i="22"/>
  <c r="D8" i="22"/>
  <c r="D9" i="22"/>
  <c r="E57" i="22"/>
  <c r="C48" i="22"/>
  <c r="C49" i="22"/>
  <c r="C51" i="22"/>
  <c r="C12" i="22"/>
  <c r="C13" i="22"/>
  <c r="C11" i="22"/>
  <c r="D10" i="22"/>
  <c r="E10" i="22"/>
  <c r="E61" i="22"/>
  <c r="G103" i="22"/>
  <c r="C24" i="22"/>
  <c r="C27" i="22"/>
  <c r="C40" i="22"/>
  <c r="F103" i="22"/>
  <c r="C25" i="22"/>
  <c r="C28" i="22"/>
  <c r="C16" i="22"/>
  <c r="C17" i="22"/>
  <c r="E12" i="22"/>
  <c r="E11" i="22"/>
  <c r="E24" i="22"/>
  <c r="D12" i="22"/>
  <c r="D13" i="22"/>
  <c r="D11" i="22"/>
  <c r="B24" i="22"/>
  <c r="C41" i="22"/>
  <c r="C29" i="22"/>
  <c r="D24" i="22"/>
  <c r="D25" i="22"/>
  <c r="B25" i="22"/>
  <c r="D16" i="22"/>
  <c r="D17" i="22"/>
  <c r="E13" i="22"/>
  <c r="C58" i="22"/>
  <c r="H104" i="22"/>
  <c r="F104" i="22"/>
  <c r="C44" i="22"/>
  <c r="C57" i="22"/>
  <c r="H103" i="22"/>
  <c r="E16" i="22"/>
  <c r="E17" i="22"/>
  <c r="C61" i="22"/>
  <c r="C8" i="25"/>
  <c r="B10" i="25"/>
  <c r="C12" i="25"/>
  <c r="F36" i="22" s="1"/>
  <c r="F43" i="22" s="1"/>
  <c r="C14" i="25"/>
  <c r="C15" i="25"/>
  <c r="C17" i="25"/>
  <c r="B16" i="25"/>
  <c r="D16" i="25" s="1"/>
  <c r="B17" i="25"/>
  <c r="D17" i="25" s="1"/>
  <c r="B15" i="25"/>
  <c r="D15" i="25"/>
  <c r="B14" i="25"/>
  <c r="D14" i="25" s="1"/>
  <c r="O8" i="26" l="1"/>
  <c r="D44" i="26"/>
  <c r="E44" i="26" s="1"/>
  <c r="C45" i="26"/>
  <c r="D45" i="26" s="1"/>
  <c r="E45" i="26" s="1"/>
  <c r="F45" i="26" s="1"/>
  <c r="O17" i="26"/>
  <c r="O15" i="26"/>
  <c r="O12" i="26"/>
  <c r="M6" i="26"/>
  <c r="M3" i="26"/>
  <c r="P19" i="26"/>
  <c r="O5" i="26"/>
  <c r="M2" i="26"/>
  <c r="O18" i="26"/>
  <c r="O13" i="26"/>
  <c r="M16" i="26"/>
  <c r="M15" i="26"/>
  <c r="I37" i="26"/>
  <c r="H45" i="26"/>
  <c r="H44" i="26"/>
  <c r="G45" i="26"/>
  <c r="M10" i="26"/>
  <c r="O14" i="26"/>
  <c r="O11" i="26"/>
  <c r="M9" i="26"/>
  <c r="O4" i="26"/>
  <c r="M18" i="26"/>
  <c r="M17" i="26"/>
  <c r="F95" i="22"/>
  <c r="B106" i="22"/>
  <c r="D12" i="25"/>
  <c r="F27" i="22"/>
  <c r="F41" i="22" s="1"/>
  <c r="F44" i="22"/>
  <c r="B107" i="22" s="1"/>
  <c r="F96" i="22"/>
  <c r="E39" i="25"/>
  <c r="E41" i="25"/>
  <c r="K13" i="25"/>
  <c r="L13" i="25" s="1"/>
  <c r="E40" i="25"/>
  <c r="I43" i="25"/>
  <c r="G43" i="25" s="1"/>
  <c r="F44" i="26" l="1"/>
  <c r="G44" i="26"/>
  <c r="J37" i="26"/>
  <c r="I44" i="26"/>
  <c r="I45" i="26"/>
  <c r="H46" i="26"/>
  <c r="H49" i="26"/>
  <c r="H47" i="26"/>
  <c r="H48" i="26"/>
  <c r="D110" i="22"/>
  <c r="D106" i="22"/>
  <c r="G48" i="26" l="1"/>
  <c r="G47" i="26"/>
  <c r="G49" i="26"/>
  <c r="G46" i="26"/>
  <c r="F48" i="26"/>
  <c r="F49" i="26"/>
  <c r="F46" i="26"/>
  <c r="F47" i="26"/>
  <c r="I47" i="26"/>
  <c r="I46" i="26"/>
  <c r="I48" i="26"/>
  <c r="I49" i="26"/>
  <c r="J45" i="26"/>
  <c r="J44" i="26"/>
  <c r="J46" i="26" l="1"/>
  <c r="J49" i="26"/>
  <c r="J47" i="26"/>
  <c r="J48" i="26"/>
</calcChain>
</file>

<file path=xl/sharedStrings.xml><?xml version="1.0" encoding="utf-8"?>
<sst xmlns="http://schemas.openxmlformats.org/spreadsheetml/2006/main" count="839" uniqueCount="649">
  <si>
    <t>From Oil Wells</t>
  </si>
  <si>
    <t>Net Gas Piped</t>
  </si>
  <si>
    <t>Million Cubic Feet</t>
  </si>
  <si>
    <t>https://www.eia.gov/dnav/ng/ng_prod_sum_dc_nus_mmcf_a.htm</t>
  </si>
  <si>
    <t>Generation at Utility Scale Facilities</t>
  </si>
  <si>
    <t>Small Scale Generation</t>
  </si>
  <si>
    <t>Net Generation From Utility and Small Scale Facilities</t>
  </si>
  <si>
    <t>Period</t>
  </si>
  <si>
    <t>Coal</t>
  </si>
  <si>
    <t>Petroleum</t>
  </si>
  <si>
    <t>Liquids</t>
  </si>
  <si>
    <t>Coke</t>
  </si>
  <si>
    <t>Natural</t>
  </si>
  <si>
    <t>Gas</t>
  </si>
  <si>
    <t>Other</t>
  </si>
  <si>
    <t>Nuclear</t>
  </si>
  <si>
    <t>Hydroelectric</t>
  </si>
  <si>
    <t>Conventional</t>
  </si>
  <si>
    <t>Solar</t>
  </si>
  <si>
    <t>Sources</t>
  </si>
  <si>
    <t>Excluding</t>
  </si>
  <si>
    <t>Hydroelectric and Solar</t>
  </si>
  <si>
    <t>Pumped</t>
  </si>
  <si>
    <t>Storage</t>
  </si>
  <si>
    <t>Total Generation at Utility Scale Facilities</t>
  </si>
  <si>
    <t>Estimated Solar Photovoltaic</t>
  </si>
  <si>
    <t>Estimated Total Solar Photovoltaic</t>
  </si>
  <si>
    <t>Estimated Total Solar</t>
  </si>
  <si>
    <t>Annual Totals</t>
  </si>
  <si>
    <t>N/A</t>
  </si>
  <si>
    <t>Table 1.1. Net Generation by Energy Source: Total (All Sectors), 2010-June 2020</t>
  </si>
  <si>
    <t>thousand megawatthours</t>
  </si>
  <si>
    <t>https://www.eia.gov/electricity/monthly/epm_table_grapher.php?t=epmt_1_01</t>
  </si>
  <si>
    <t>From Gas Wells+Shale</t>
  </si>
  <si>
    <t>Hydro</t>
  </si>
  <si>
    <t>Million kilowatthours=Thousand megawatthours</t>
  </si>
  <si>
    <t>Coal used for Electricity</t>
  </si>
  <si>
    <t>https://www.eia.gov/coal/production/quarterly/pdf/t32p01p1.pdf</t>
  </si>
  <si>
    <t xml:space="preserve">CH4c </t>
  </si>
  <si>
    <t xml:space="preserve">Enteric Fermentation </t>
  </si>
  <si>
    <t xml:space="preserve">Natural Gas Systems </t>
  </si>
  <si>
    <t xml:space="preserve">Landfills </t>
  </si>
  <si>
    <t xml:space="preserve">Manure Management </t>
  </si>
  <si>
    <t xml:space="preserve">Coal Mining </t>
  </si>
  <si>
    <t xml:space="preserve">Petroleum Systems </t>
  </si>
  <si>
    <t xml:space="preserve">Wastewater Treatment </t>
  </si>
  <si>
    <t xml:space="preserve">Rice Cultivation </t>
  </si>
  <si>
    <t xml:space="preserve">Abandoned Underground Coal Mines </t>
  </si>
  <si>
    <t>Stationary combustion, CO2e</t>
  </si>
  <si>
    <t>Table 3-10</t>
  </si>
  <si>
    <t>Electric</t>
  </si>
  <si>
    <t>coal</t>
  </si>
  <si>
    <t>gas</t>
  </si>
  <si>
    <t>Abandoned oil+gas wells</t>
  </si>
  <si>
    <t>oil wells</t>
  </si>
  <si>
    <t>gas wells</t>
  </si>
  <si>
    <t>Table 3-85</t>
  </si>
  <si>
    <t>CO2, tons</t>
  </si>
  <si>
    <t>Industry segment</t>
  </si>
  <si>
    <t xml:space="preserve">Production </t>
  </si>
  <si>
    <t xml:space="preserve">Gathering </t>
  </si>
  <si>
    <t xml:space="preserve">Processing </t>
  </si>
  <si>
    <t xml:space="preserve">Transmission and Storage </t>
  </si>
  <si>
    <t xml:space="preserve">Local Distribution* </t>
  </si>
  <si>
    <t xml:space="preserve">Oil Refining and Transportation* </t>
  </si>
  <si>
    <t xml:space="preserve">U.S. O/NG total </t>
  </si>
  <si>
    <t xml:space="preserve">EDF work (bottom-up) </t>
  </si>
  <si>
    <t>Alvarez p.8</t>
  </si>
  <si>
    <t>2015 CH4 Emissions (Tg/y=million metric tons)</t>
  </si>
  <si>
    <t>EDF excess, kilotons</t>
  </si>
  <si>
    <t>million metric tons</t>
  </si>
  <si>
    <t>https://www.eia.gov/environment/emissions/co2_vol_mass.php</t>
  </si>
  <si>
    <t>Million short tons</t>
  </si>
  <si>
    <t>Electricity generation</t>
  </si>
  <si>
    <t>CO2 emissions      </t>
  </si>
  <si>
    <t>million kWh</t>
  </si>
  <si>
    <t>million short tons</t>
  </si>
  <si>
    <t>pounds per kWh</t>
  </si>
  <si>
    <t>Natural gas</t>
  </si>
  <si>
    <t>Electricity generation is net electricity generation.</t>
  </si>
  <si>
    <t>Includes electricity-only power plants. Combined heat and power plants are excluded because some of their CO2 emissions are from heat-related fuel consumption.</t>
  </si>
  <si>
    <t>https://www.eia.gov/tools/faqs/faq.php?id=74&amp;t=11</t>
  </si>
  <si>
    <t>metric tons/kwh</t>
  </si>
  <si>
    <t>https://www.eia.gov/todayinenergy/detail.php?id=39012</t>
  </si>
  <si>
    <t>gas combined cycle plants are more efficient (btus/kwh) than coal</t>
  </si>
  <si>
    <t>https://www.eia.gov/electricity/annual/html/epa_08_02.html</t>
  </si>
  <si>
    <t>BTUs/kwh</t>
  </si>
  <si>
    <t>90% of gas electricity comes from combined cycle plants, which produce more electricity than coal</t>
  </si>
  <si>
    <t>pounds/kilowatthour</t>
  </si>
  <si>
    <t>Life cycle CO2e at 25, low estimate</t>
  </si>
  <si>
    <t>co2</t>
  </si>
  <si>
    <t>ch4</t>
  </si>
  <si>
    <t>kg/megawatt hour</t>
  </si>
  <si>
    <t>Wind</t>
  </si>
  <si>
    <t>Net Electricity Generation (Thousand Megawatthours), 2018</t>
  </si>
  <si>
    <t>total or factor</t>
  </si>
  <si>
    <t>https://www.eia.gov/dnav/ng/ng_cons_sum_dcu_nus_a.htm</t>
  </si>
  <si>
    <t>https://www.aqua-calc.com/calculate/volume-to-weight/substance/methane-coma-and-blank-gas</t>
  </si>
  <si>
    <t>kt methane</t>
  </si>
  <si>
    <t>Table 3-84 shows each separately. Multiply+Add to get CO2e</t>
  </si>
  <si>
    <t>epa ghgi table 2-2</t>
  </si>
  <si>
    <t>Tables 2-2, 3-84, 3-85, EPA GHGI</t>
  </si>
  <si>
    <t>Table 2-2 EPA GHGI</t>
  </si>
  <si>
    <t>oil</t>
  </si>
  <si>
    <t>percent</t>
  </si>
  <si>
    <t>million metric tons per million barrels or million short tons = metric tons per barrel or short ton</t>
  </si>
  <si>
    <t>Life cycle CO2e at 25, high estimate</t>
  </si>
  <si>
    <t>pounds CO2e /kilowatthour at GWP=87</t>
  </si>
  <si>
    <t>metric tons CO2 per million cubic feet or per short ton</t>
  </si>
  <si>
    <t>CO2 emissions per BTU</t>
  </si>
  <si>
    <t>pounds CO2/million BTU</t>
  </si>
  <si>
    <t>MMT CO2e from methane</t>
  </si>
  <si>
    <t>MMT CO2e from N2O</t>
  </si>
  <si>
    <t>Table 3-11</t>
  </si>
  <si>
    <t>Nuclear, solar, wind are mostly CO2=averages of high and low lifetime estimates</t>
  </si>
  <si>
    <t>(EDF extra methane from gas) per kwh reduced by ratio of (methane4elec/total methane)</t>
  </si>
  <si>
    <t>mg/m2/day CH4-C</t>
  </si>
  <si>
    <t>https://academic.oup.com/bioscience/article/66/11/949/2754271</t>
  </si>
  <si>
    <t>ratio of molecule to C</t>
  </si>
  <si>
    <t>mg/m2/day CH4</t>
  </si>
  <si>
    <t>m2/acre</t>
  </si>
  <si>
    <t>days/year</t>
  </si>
  <si>
    <t>mg/tonne</t>
  </si>
  <si>
    <t>tonnes/million tonnes</t>
  </si>
  <si>
    <t>million tons/acre/year</t>
  </si>
  <si>
    <t>Dams</t>
  </si>
  <si>
    <t>Estimated Methane, million tonnes</t>
  </si>
  <si>
    <t>Estimated CO2, million tonnes</t>
  </si>
  <si>
    <t>Water above Hydroelectric Dams</t>
  </si>
  <si>
    <t>Hydropower without Flood control or Navigation</t>
  </si>
  <si>
    <t>Hydropower + Flood control</t>
  </si>
  <si>
    <t>Hydropower + Navigation</t>
  </si>
  <si>
    <t>Hydropower + Water supply</t>
  </si>
  <si>
    <t>Estimated Methane, million tonnes CO2e</t>
  </si>
  <si>
    <t>http://nid.usace.army.mil/  5/23/2020</t>
  </si>
  <si>
    <t>Acres</t>
  </si>
  <si>
    <t>Estimated Methane</t>
  </si>
  <si>
    <t>Estimated CO2</t>
  </si>
  <si>
    <t>N2O from Table 3-11 EPA GHGI. Hydro same source as methane above</t>
  </si>
  <si>
    <t>https://www.powermag.com/why-coal-lost-and-can-it-recover/</t>
  </si>
  <si>
    <t>coal in US "predominately reflects subcritical technology—10,015 Btu per kWh"</t>
  </si>
  <si>
    <t>lb/cu.ft</t>
  </si>
  <si>
    <t>kg/cu.meter</t>
  </si>
  <si>
    <t>https://signupmonkey.ece.ucsb.edu/wiki/images/8/88/Methane_MSDS.pdf</t>
  </si>
  <si>
    <t>iSoc Technologies via UCSB</t>
  </si>
  <si>
    <t>pressure</t>
  </si>
  <si>
    <t>1 atm</t>
  </si>
  <si>
    <t>unitless</t>
  </si>
  <si>
    <t>g/scf</t>
  </si>
  <si>
    <t>EDF</t>
  </si>
  <si>
    <t>https://www.pnas.org/highwire/filestream/608631/field_highwire_adjunct_files/0/SD01.xlsx</t>
  </si>
  <si>
    <t>https://web.archive.org/web/20160305021141/http://avogadro.chem.iastate.edu/MSDS/methane.pdf</t>
  </si>
  <si>
    <t>Air Products via Iowa State</t>
  </si>
  <si>
    <t>Airgas</t>
  </si>
  <si>
    <t>https://www.airgas.com/msds/001033.pdf</t>
  </si>
  <si>
    <t>https://www.pge.com/includes/docs/pdfs/shared/environment/pge/cleanair/methane1033.pdf</t>
  </si>
  <si>
    <t>Airgas via PGE</t>
  </si>
  <si>
    <t>Matheson via Harper College</t>
  </si>
  <si>
    <t>http://dept.harpercollege.edu/chemistry/msds1/Methane%20gas%20Matheson.pdf</t>
  </si>
  <si>
    <t>http://alsafetydatasheets.com/download/dk/Methane_NOAL_0078A_DK_EN.pdf</t>
  </si>
  <si>
    <t>Air Liquide, only relative to air</t>
  </si>
  <si>
    <t>https://www.lindeus.com/-/media/corporate/praxairus/documents/sds/methane-ch4-safety-data-sheet-sds-p4618.pdf?la=en&amp;rev=af36e08ee7e3466faac05b3e571e0de8</t>
  </si>
  <si>
    <t>Praxair "Compressed Methane"</t>
  </si>
  <si>
    <t>http://gasinnovations.com/literature/MSDS-Sheets/MSDS-METHANE.pdf</t>
  </si>
  <si>
    <t>http://nano.pse.umass.edu/sites/default/files/Methane_CH4.pdf</t>
  </si>
  <si>
    <t>Airgas via U. Mass</t>
  </si>
  <si>
    <t>https://offenbar-energy.com/pdf/MSDS%20METHANE.pdf</t>
  </si>
  <si>
    <t>Voltaix via offenbar</t>
  </si>
  <si>
    <t>http://www.nwmissouri.edu/naturalsciences/sds/m/Methane%20compressed%20gas.pdf</t>
  </si>
  <si>
    <t>Southern gas Services via U Missouri</t>
  </si>
  <si>
    <t>https://www.boconline.co.uk/en/images/tg_8321_methane_tcm410-61346.pdf</t>
  </si>
  <si>
    <t>BOC (UK) only relative to air</t>
  </si>
  <si>
    <t>https://rsc.aux.eng.ufl.edu/_files/msds/343.pdf</t>
  </si>
  <si>
    <t>Advanced Gas Technologies via U Florida</t>
  </si>
  <si>
    <t>101.3 kPa</t>
  </si>
  <si>
    <t>https://www.mathesongas.com/pdfs/msds/MAT14160.pdf</t>
  </si>
  <si>
    <t>Matheson Tri-Gas</t>
  </si>
  <si>
    <t>https://www.chemadvisor.com/matheson/database/msds/mat14160000800003.pdf</t>
  </si>
  <si>
    <t>Matheson</t>
  </si>
  <si>
    <t>https://www.tcenergy.com/siteassets/pdfs/commitment/safety/pipelines-and-operations/transcanada-msds-natural-gas.pdf</t>
  </si>
  <si>
    <t>TransCanada "not availbble'</t>
  </si>
  <si>
    <t>https://www.atco.com/content/dam/web/for-business/natural-gas/documents/natural-gas-safety-data-sheet.pdf</t>
  </si>
  <si>
    <t>Atco (Alberta) "not available"</t>
  </si>
  <si>
    <t>https://www.nist.gov/document/ncwm-2014-annual-report-sp-1193-st-appendix-e-0</t>
  </si>
  <si>
    <t>NIST average of 6,811 natural gas samples nationwide</t>
  </si>
  <si>
    <t>temp K</t>
  </si>
  <si>
    <t>temp C</t>
  </si>
  <si>
    <t>temp F</t>
  </si>
  <si>
    <t>US standard cubic foot is measured at 60F at sea level</t>
  </si>
  <si>
    <t>Aqua calculator</t>
  </si>
  <si>
    <t>https://cdm.unfccc.int/methodologies/inputsconsmeth/MGM_methane.pdf</t>
  </si>
  <si>
    <t>MGM via UN FCCC</t>
  </si>
  <si>
    <t>1.013 bar</t>
  </si>
  <si>
    <t>IPCC, 1996, vol. 3, p. 1.124</t>
  </si>
  <si>
    <t>http://www.nat-g.com/why-cng/cng-units-explained/</t>
  </si>
  <si>
    <t>cubic feet/cubic meter</t>
  </si>
  <si>
    <t>Gas Innovations (ignore typo@25C)</t>
  </si>
  <si>
    <t>Density of Methane</t>
  </si>
  <si>
    <t>Link</t>
  </si>
  <si>
    <t>Date</t>
  </si>
  <si>
    <t>kg/standard cubic foot</t>
  </si>
  <si>
    <t>kg/cu.meter at 0C</t>
  </si>
  <si>
    <t>g/L=kg/cu.meter</t>
  </si>
  <si>
    <t xml:space="preserve"> </t>
  </si>
  <si>
    <t>Methane density</t>
  </si>
  <si>
    <t>Million barrels or million short tons</t>
  </si>
  <si>
    <t>Oil:https://www.eia.gov/dnav/pet/pet_crd_crpdn_adc_mbbl_a.htm and Coal:https://www.eia.gov/coal/annual/pdf/tableES1.pdf</t>
  </si>
  <si>
    <t>Gas used for Electricity: tons</t>
  </si>
  <si>
    <t>Million standard cubic feet (SCF, at 60F, 1 atmosphere)</t>
  </si>
  <si>
    <t>multiply by density 0.0192 kg/scf</t>
  </si>
  <si>
    <t>divide</t>
  </si>
  <si>
    <t>subtract</t>
  </si>
  <si>
    <t>divide by GWP</t>
  </si>
  <si>
    <t>Methane, EPA</t>
  </si>
  <si>
    <t>https://www.ucsusa.org/resources/environmental-impacts-solar-power and https://www.ucsusa.org/resources/environmental-impacts-wind-power</t>
  </si>
  <si>
    <t>https://www.nrel.gov/analysis/life-cycle-assessment.html and http://www.ipcc-wg3.de/report/IPCC_SRREN_Ch09.pdf</t>
  </si>
  <si>
    <r>
      <rPr>
        <b/>
        <sz val="10"/>
        <color theme="9" tint="-0.499984740745262"/>
        <rFont val="Arial Narrow"/>
        <family val="2"/>
      </rPr>
      <t>Cubic feet are in brown type .</t>
    </r>
    <r>
      <rPr>
        <b/>
        <sz val="10"/>
        <rFont val="Arial Narrow"/>
        <family val="2"/>
      </rPr>
      <t xml:space="preserve"> T</t>
    </r>
    <r>
      <rPr>
        <b/>
        <sz val="10"/>
        <color rgb="FF002060"/>
        <rFont val="Arial Narrow"/>
        <family val="2"/>
      </rPr>
      <t>ons are in blue type.</t>
    </r>
  </si>
  <si>
    <t>$ per million BTU (NETL 2011 prices)</t>
  </si>
  <si>
    <t>eia.gov/tools/faqs/faq.php?id=73&amp;t=11 coal is 206-229</t>
  </si>
  <si>
    <t>https://www.eia.gov/totalenergy/data/monthly/pdf/sec12.pdf</t>
  </si>
  <si>
    <t>million BTU per unit of input</t>
  </si>
  <si>
    <t>BTU/scf gas or BTU/short ton coal</t>
  </si>
  <si>
    <t>total</t>
  </si>
  <si>
    <t>EDF paper</t>
  </si>
  <si>
    <t>Stationary Combustion (split below)</t>
  </si>
  <si>
    <t>Abandoned Oil + Gas Wells (split below)</t>
  </si>
  <si>
    <t>Fossil Fuel Combustion</t>
  </si>
  <si>
    <t>Non-Energy Use of Fuels</t>
  </si>
  <si>
    <t>Iron and Steel Production &amp; Metallurgical Coke Production</t>
  </si>
  <si>
    <t>Cement Production</t>
  </si>
  <si>
    <t>Petroleum Systems</t>
  </si>
  <si>
    <t>Natural Gas Systems</t>
  </si>
  <si>
    <t>Petrochemical Production</t>
  </si>
  <si>
    <t>Ammonia Production</t>
  </si>
  <si>
    <t>Lime Production</t>
  </si>
  <si>
    <t>Incineration of Waste</t>
  </si>
  <si>
    <t>Other Process Uses of Carbonates</t>
  </si>
  <si>
    <t>Urea Fertilization</t>
  </si>
  <si>
    <t>Carbon Dioxide Consumption</t>
  </si>
  <si>
    <t>Urea Consumption for Non-Agricultural Purposes</t>
  </si>
  <si>
    <t>Liming</t>
  </si>
  <si>
    <t>Ferroalloy Production</t>
  </si>
  <si>
    <t>Soda Ash Production</t>
  </si>
  <si>
    <t>Titanium Dioxide Production</t>
  </si>
  <si>
    <t>Aluminum Production</t>
  </si>
  <si>
    <t>Glass Production</t>
  </si>
  <si>
    <t>Zinc Production</t>
  </si>
  <si>
    <t>Phosphoric Acid Production</t>
  </si>
  <si>
    <t>Lead Production</t>
  </si>
  <si>
    <t>Carbide Production and Consumption</t>
  </si>
  <si>
    <t>Abandoned Oil and Gas Wells</t>
  </si>
  <si>
    <t>Magnesium Production and Processing</t>
  </si>
  <si>
    <t xml:space="preserve">Gas/Source </t>
  </si>
  <si>
    <t xml:space="preserve">Transportation </t>
  </si>
  <si>
    <t xml:space="preserve">Electric Power </t>
  </si>
  <si>
    <t xml:space="preserve">Industrial </t>
  </si>
  <si>
    <t xml:space="preserve">Residential </t>
  </si>
  <si>
    <t xml:space="preserve">Commercial </t>
  </si>
  <si>
    <t xml:space="preserve">U.S. Territories </t>
  </si>
  <si>
    <t xml:space="preserve">Wood Biomass, Ethanol, and Biodiesel Consumptiona </t>
  </si>
  <si>
    <t xml:space="preserve">International Bunker Fuelsb </t>
  </si>
  <si>
    <t>CO2 kt</t>
  </si>
  <si>
    <t xml:space="preserve">Coal </t>
  </si>
  <si>
    <t xml:space="preserve">Natural Gas </t>
  </si>
  <si>
    <t xml:space="preserve">Petroleum </t>
  </si>
  <si>
    <t xml:space="preserve">Fuel Oil </t>
  </si>
  <si>
    <t xml:space="preserve">Geothermal </t>
  </si>
  <si>
    <t>Fuel Oil</t>
  </si>
  <si>
    <t>+</t>
  </si>
  <si>
    <r>
      <t xml:space="preserve">Table 3-9: </t>
    </r>
    <r>
      <rPr>
        <b/>
        <sz val="10"/>
        <color rgb="FFFF0000"/>
        <rFont val="Calibri"/>
        <family val="2"/>
      </rPr>
      <t>CO2</t>
    </r>
    <r>
      <rPr>
        <b/>
        <sz val="10"/>
        <rFont val="Calibri"/>
        <family val="2"/>
      </rPr>
      <t xml:space="preserve"> Emissions from Stationary Fossil Fuel Combustion (MMT CO2 Eq.) Sector/Fuel Type </t>
    </r>
  </si>
  <si>
    <r>
      <t>Table 3-10:</t>
    </r>
    <r>
      <rPr>
        <b/>
        <sz val="10"/>
        <color rgb="FFFF0000"/>
        <rFont val="Calibri"/>
        <family val="2"/>
      </rPr>
      <t xml:space="preserve"> CH4</t>
    </r>
    <r>
      <rPr>
        <b/>
        <sz val="10"/>
        <rFont val="Calibri"/>
        <family val="2"/>
      </rPr>
      <t xml:space="preserve"> Emissions from Stationary Combustion (</t>
    </r>
    <r>
      <rPr>
        <b/>
        <sz val="10"/>
        <color rgb="FFFF0000"/>
        <rFont val="Calibri"/>
        <family val="2"/>
      </rPr>
      <t>MMT CO2 Eq.</t>
    </r>
    <r>
      <rPr>
        <b/>
        <sz val="10"/>
        <rFont val="Calibri"/>
        <family val="2"/>
      </rPr>
      <t xml:space="preserve">) Sector/Fuel Type </t>
    </r>
  </si>
  <si>
    <t xml:space="preserve">+ </t>
  </si>
  <si>
    <r>
      <t xml:space="preserve">Table 3-11: </t>
    </r>
    <r>
      <rPr>
        <b/>
        <sz val="10"/>
        <color rgb="FFFF0000"/>
        <rFont val="Calibri"/>
        <family val="2"/>
      </rPr>
      <t>N2O</t>
    </r>
    <r>
      <rPr>
        <b/>
        <sz val="10"/>
        <rFont val="Calibri"/>
        <family val="2"/>
      </rPr>
      <t xml:space="preserve"> Emissions from Stationary Combustion (</t>
    </r>
    <r>
      <rPr>
        <b/>
        <sz val="10"/>
        <color rgb="FFFF0000"/>
        <rFont val="Calibri"/>
        <family val="2"/>
      </rPr>
      <t>MMT CO2 Eq.</t>
    </r>
    <r>
      <rPr>
        <b/>
        <sz val="10"/>
        <rFont val="Calibri"/>
        <family val="2"/>
      </rPr>
      <t xml:space="preserve">) Sector/Fuel Type </t>
    </r>
  </si>
  <si>
    <t xml:space="preserve">15 Utilities primarily generate power for the U.S. electric grid for sale to retail customers. Non-utilities typically generate electricity for sale on the wholesale electricity market (e.g., to utilities for distribution and resale to retail customers). Where electricity generation occurs outside the EIA-defined electric power sector, it is typically for the entity’s own use. </t>
  </si>
  <si>
    <t xml:space="preserve">Table 3-12: Electric Power Generation by Fuel Type (Percent) Fuel Type </t>
  </si>
  <si>
    <t xml:space="preserve">Nuclear </t>
  </si>
  <si>
    <t xml:space="preserve">Renewables </t>
  </si>
  <si>
    <t xml:space="preserve">Other Gasesa </t>
  </si>
  <si>
    <t xml:space="preserve">+% </t>
  </si>
  <si>
    <t xml:space="preserve">Net Electricity Generation (Billion kWh)b </t>
  </si>
  <si>
    <t xml:space="preserve">+ Does not exceed 0.05 percent. </t>
  </si>
  <si>
    <t xml:space="preserve">a Other gases include blast furnace gas, propane gas, and other manufactured and waste gases derived from fossil fuels. </t>
  </si>
  <si>
    <t xml:space="preserve">b Represents net electricity generation from the electric power sector. Excludes net electricity generation from commercial and industrial combined-heat-and-power and electricity-only plants. </t>
  </si>
  <si>
    <r>
      <t xml:space="preserve">16 Values represent electricity </t>
    </r>
    <r>
      <rPr>
        <i/>
        <sz val="10"/>
        <rFont val="Calibri"/>
        <family val="2"/>
      </rPr>
      <t xml:space="preserve">net </t>
    </r>
    <r>
      <rPr>
        <sz val="10"/>
        <rFont val="Calibri"/>
        <family val="2"/>
      </rPr>
      <t xml:space="preserve">generation from the electric power sector (EIA 2019a). </t>
    </r>
  </si>
  <si>
    <t xml:space="preserve"> Where electricity generation occurs outside the EIA-defined electric power sector, it is typically for the entity’s own use. </t>
  </si>
  <si>
    <r>
      <t xml:space="preserve">EPA GHGI </t>
    </r>
    <r>
      <rPr>
        <sz val="10"/>
        <color rgb="FF00B050"/>
        <rFont val="Calibri"/>
        <family val="2"/>
        <scheme val="minor"/>
      </rPr>
      <t>1990-2015 in  EDF</t>
    </r>
  </si>
  <si>
    <t>too small to address</t>
  </si>
  <si>
    <t>notes are useful, not table</t>
  </si>
  <si>
    <t>mmt actual gas</t>
  </si>
  <si>
    <t>Table 2-2: Recent Trends in U.S. Greenhouse Gas Emissions and Sinks (kt)</t>
  </si>
  <si>
    <t>table 2-2 shows no N2O from coal, gas+petroleum systems or abandoned wells or mines</t>
  </si>
  <si>
    <t>Table 3-9 EPA GHGI</t>
  </si>
  <si>
    <t>million metric tons CO2e</t>
  </si>
  <si>
    <t>Divide</t>
  </si>
  <si>
    <t>billion mwh, epa</t>
  </si>
  <si>
    <t>thousand mwh,eia</t>
  </si>
  <si>
    <t>Table 3-12 EPA GHGI, except hydro: https://www.eia.gov/electricity/monthly/epm_table_grapher.php?t=epmt_1_01</t>
  </si>
  <si>
    <t>CO2 emissions, EPA, at electric plants</t>
  </si>
  <si>
    <t>N2O emissions, EPA, at electric plants</t>
  </si>
  <si>
    <t>CO2 emissions at electric plants per unit of input, EPA</t>
  </si>
  <si>
    <t>CO2 emissions at electric plants per unit of input, EIA</t>
  </si>
  <si>
    <t>CO2 emitted from gas+oil systems upstream</t>
  </si>
  <si>
    <t>N2O emissions for electricity +share of CO2 upstream, as CO2e</t>
  </si>
  <si>
    <t>Coal+CCS</t>
  </si>
  <si>
    <t>Gas+CCS</t>
  </si>
  <si>
    <t>Natural Gas Gross Withdrawals from Ground</t>
  </si>
  <si>
    <t>Natural gas produced from gas wells</t>
  </si>
  <si>
    <t>Natural gas produced from shale</t>
  </si>
  <si>
    <t>Natural Gas Repressuring</t>
  </si>
  <si>
    <r>
      <t>Natural Gas Vented and Flared</t>
    </r>
    <r>
      <rPr>
        <i/>
        <sz val="10"/>
        <color theme="9" tint="-0.499984740745262"/>
        <rFont val="Arial Narrow"/>
        <family val="2"/>
      </rPr>
      <t xml:space="preserve"> </t>
    </r>
    <r>
      <rPr>
        <sz val="10"/>
        <color theme="9" tint="-0.499984740745262"/>
        <rFont val="Arial Narrow"/>
        <family val="2"/>
      </rPr>
      <t>(columns estimated)</t>
    </r>
  </si>
  <si>
    <t>Natural Gas Marketed Production</t>
  </si>
  <si>
    <t>Natural Gas Plant Liquids Production (proportional)</t>
  </si>
  <si>
    <t>Dry Natural Gas Production</t>
  </si>
  <si>
    <t>Gas used for Electricity (columns proportional): cubic feet</t>
  </si>
  <si>
    <t>Nonhydrocarbon Gases Removed from Natural Gas (columns proportional)</t>
  </si>
  <si>
    <t>Oil+coal production</t>
  </si>
  <si>
    <t>multiply cubic feet by density 0.0192 kg/scf</t>
  </si>
  <si>
    <t>General methane (EPA) emitted from gas+oil as % of production from gas+oil systems</t>
  </si>
  <si>
    <t>Other methane (EDF) emitted from gas+oil as % of gas from gas+oil systems</t>
  </si>
  <si>
    <t>US Fossil Fuel Production, 2018</t>
  </si>
  <si>
    <t>Amount of Fuels Used for Electricity</t>
  </si>
  <si>
    <t>From Coal Mines</t>
  </si>
  <si>
    <t>Methane Emissions</t>
  </si>
  <si>
    <t>CO2 and N2O Emissions</t>
  </si>
  <si>
    <t>Direct methane emitted for electricity, from stationary combustion for electricity</t>
  </si>
  <si>
    <t>General methane emitted, EPA, not allocated between electricity+not</t>
  </si>
  <si>
    <t>General methane emitted from abandoned wells+mines, EPA</t>
  </si>
  <si>
    <t>Other methane emitted, EDF, applicable to all production (proportional)</t>
  </si>
  <si>
    <t>Tons methane emitted per barrel or short ton</t>
  </si>
  <si>
    <t>Other methane emitted (EDF) for electricity</t>
  </si>
  <si>
    <t>Direct methane emit for electr+Electr shr of general methane (EPA) emit</t>
  </si>
  <si>
    <t>All methane emitted for electricity as % of gas burned for electricity</t>
  </si>
  <si>
    <t>Methane which would be emitted as % of gas used in electric generation</t>
  </si>
  <si>
    <t>Emissions per kWh</t>
  </si>
  <si>
    <t>Gas/Coal Breakeven Point</t>
  </si>
  <si>
    <t>Hydro Estimates Based on NID+Deemer</t>
  </si>
  <si>
    <t>Physical Factors Used Above</t>
  </si>
  <si>
    <t>Life Cycle Analyses</t>
  </si>
  <si>
    <t>Count of estimates</t>
  </si>
  <si>
    <t>Renewable (Wind+geothermal)</t>
  </si>
  <si>
    <t>Count of references</t>
  </si>
  <si>
    <t xml:space="preserve">tropical forests </t>
  </si>
  <si>
    <t xml:space="preserve">temperate forests </t>
  </si>
  <si>
    <t xml:space="preserve">boreal forests </t>
  </si>
  <si>
    <t xml:space="preserve">grassland </t>
  </si>
  <si>
    <t xml:space="preserve">Ecosystem type </t>
  </si>
  <si>
    <t>lb/kWh</t>
  </si>
  <si>
    <t>https://escholarship.org/uc/item/8jh5x7z4</t>
  </si>
  <si>
    <t>Horvath 2005, Table 2: Sensitivity analysis of GWE of GCD due to different ecosystem types.</t>
  </si>
  <si>
    <t>multiplier to convert tons methane to pounds CO2e</t>
  </si>
  <si>
    <t>g /kWh</t>
  </si>
  <si>
    <t>desert scrub</t>
  </si>
  <si>
    <t>https://www.netl.doe.gov/sites/default/files/netl-file/T-Fout-NETL-SEA-Update.pdf and https://sequestration.mit.edu/pdf/2013_Summers_Capture_Costs_Industrial_Sources.pdf</t>
  </si>
  <si>
    <t>$ spent per tonne CO2 from h2@44.5% CO2, to buy gas for regneration steam (NETL)</t>
  </si>
  <si>
    <t>$ spent per tonne CO2 from steel+iron@ 23.4% CO2, to buy gas for regneration steam (NETL)</t>
  </si>
  <si>
    <t>$ spent per tonne CO2 from cement@22.4% CO2, to buy gas for regneration steam (NETL)</t>
  </si>
  <si>
    <t>average $ spent per tonne CO2 to buy gas for regneration steam (NETL)</t>
  </si>
  <si>
    <t>p.28+41 https://sequestration.mit.edu/pdf/2013_Summers_Capture_Costs_Industrial_Sources.pdf</t>
  </si>
  <si>
    <t>p.28+43 https://sequestration.mit.edu/pdf/2013_Summers_Capture_Costs_Industrial_Sources.pdf</t>
  </si>
  <si>
    <t>p.28+45 https://sequestration.mit.edu/pdf/2013_Summers_Capture_Costs_Industrial_Sources.pdf</t>
  </si>
  <si>
    <t>average</t>
  </si>
  <si>
    <t>https://www.cmu.edu/epp/iecm/rubin/PDF%20files/2011/Rubin-Zhai_NGCC-CCS%20costs_CCS%20Conf_3%20May%202011.pdf</t>
  </si>
  <si>
    <t>BTU/lb CO2</t>
  </si>
  <si>
    <t xml:space="preserve">BTU burned for regeneration steam, per lb primary CO2 captured </t>
  </si>
  <si>
    <t>$/million BTU</t>
  </si>
  <si>
    <t>range in https://www.cmu.edu/epp/iecm/rubin/PDF%20files/2011/Rubin-Zhai_NGCC-CCS%20costs_CCS%20Conf_3%20May%202011.pdf</t>
  </si>
  <si>
    <t>$/tonCO2 capt</t>
  </si>
  <si>
    <t>units vary by column</t>
  </si>
  <si>
    <t>BTU needed/tonCO2 capt</t>
  </si>
  <si>
    <t>BTU needed/lbCO2 capt</t>
  </si>
  <si>
    <t>Methane, EDF</t>
  </si>
  <si>
    <t xml:space="preserve">     NID+Deemer</t>
  </si>
  <si>
    <t xml:space="preserve">     Horvath, boreal forests</t>
  </si>
  <si>
    <t xml:space="preserve">     Horvath, temperate forests</t>
  </si>
  <si>
    <t>CO2+N2O</t>
  </si>
  <si>
    <t>CO2 upper estimate</t>
  </si>
  <si>
    <t>Hydroelectricity estimates:</t>
  </si>
  <si>
    <t>Pounds burned/kwh</t>
  </si>
  <si>
    <t>Methane emissions, EPA, pounds/kwh</t>
  </si>
  <si>
    <t>Other methane emissions, EDF+ETH, pounds/kwh</t>
  </si>
  <si>
    <t>N2O emissions for electricity +share of CO2 upstream, pounds/kwh</t>
  </si>
  <si>
    <t>CO2 emissions at electric plants, pounds/kwh</t>
  </si>
  <si>
    <t>Pounds CO2e/kwh difference between coal CO2e, versus gas CO2+N2O</t>
  </si>
  <si>
    <t>btu released/pound of fuel burned</t>
  </si>
  <si>
    <t>BTU/pound of gas</t>
  </si>
  <si>
    <t>pounds/kwh</t>
  </si>
  <si>
    <t>CCS Breakeven Point</t>
  </si>
  <si>
    <t>CO2e at GWP=87</t>
  </si>
  <si>
    <t>Other methane emissions, EDF, pounds/kwh</t>
  </si>
  <si>
    <t>remaining % uncaptured, spread over fewer kwh generated</t>
  </si>
  <si>
    <t>Methane emissions, EPA, pounds spread over fewer kwh generated</t>
  </si>
  <si>
    <t>previous emissions/kwh adjusted upward to reflect lower number of kwh</t>
  </si>
  <si>
    <t>pounds of fuel burned for regeneration steam per pound CO2 captured</t>
  </si>
  <si>
    <t>divide (BTU needed/lb CO2 captured) by (BTU available per lb of fuel)</t>
  </si>
  <si>
    <t>Emissions from Carbon Capture: same fuel, fewer kWh</t>
  </si>
  <si>
    <t>additional</t>
  </si>
  <si>
    <t>divide by total electricity</t>
  </si>
  <si>
    <t>Fraction of total. Hydro from Deemer https://academic.oup.com/bioscience/article/66/11/949/2754271 times area in http://nid.usace.army.mil/</t>
  </si>
  <si>
    <t>CO2+CO2e of N2O+GWP*methane</t>
  </si>
  <si>
    <t>Methane emissions pounds/kwh</t>
  </si>
  <si>
    <t>CO2 emissions pounds/kwh</t>
  </si>
  <si>
    <t>Graph: (pounds CO2e/kwh)</t>
  </si>
  <si>
    <t>gwe=global warming effect, GCD=Glen Canyon Dam (Lake Powell)</t>
  </si>
  <si>
    <t>tonnes/acre/year</t>
  </si>
  <si>
    <t>Remaining fuel generates fewer kWh</t>
  </si>
  <si>
    <t>million pounds</t>
  </si>
  <si>
    <t>CO2 captured, million pounds</t>
  </si>
  <si>
    <t>Lost kwh/lbCO2 captured</t>
  </si>
  <si>
    <t>kwh/lbCO2</t>
  </si>
  <si>
    <t>This does not show pure emissions, which are estimated by EPA below</t>
  </si>
  <si>
    <t xml:space="preserve">for comparison with </t>
  </si>
  <si>
    <t>Total</t>
  </si>
  <si>
    <t>methane leak per original kwh</t>
  </si>
  <si>
    <t>Methane which would be emitted as % of gas used in electric generation, or multiple of methane now leaked in producing coal for electricity</t>
  </si>
  <si>
    <t>Reduction in electricity output, per kWh</t>
  </si>
  <si>
    <t>CO2e pounds/kWh Coal, 2018</t>
  </si>
  <si>
    <t>CO2+N2O pounds/kWh Gas, 2018</t>
  </si>
  <si>
    <t>Equivalent pounds methane/kwh which would have to be emitted to fill gap</t>
  </si>
  <si>
    <t>Gas burned in electricity generation, pounds/kwh</t>
  </si>
  <si>
    <t>https://www.epa.gov/ghgemissions/inventory-us-greenhouse-gas-emissions-and-sinks-1990-2018</t>
  </si>
  <si>
    <t>Table 3-10 EPA GHGI  https://www.epa.gov/ghgemissions/inventory-us-greenhouse-gas-emissions-and-sinks-1990-2018</t>
  </si>
  <si>
    <t>kilotons of emissions, by gas and topic</t>
  </si>
  <si>
    <t>implied temp C</t>
  </si>
  <si>
    <t>kg/scf (60F, 289K)</t>
  </si>
  <si>
    <t>density tab, column O</t>
  </si>
  <si>
    <t>2015 paper finds similar allocation results by mass (used here), energy or value: Zavala-Araiza et al. https://pubs.acs.org/doi/pdf/10.1021/sc500730x</t>
  </si>
  <si>
    <t>Scherer ETH Swiss Federal Inst of Technology, paper: https://journals.plos.org/plosone/article?id=10.1371/journal.pone.0161947</t>
  </si>
  <si>
    <t>USA data from Scherer spreadsheet: www.plosone.org/article/fetchSingleRepresentation.action?uri=info:doi/10.1371/journal.pone.0161947.s004</t>
  </si>
  <si>
    <t>Hydro full</t>
  </si>
  <si>
    <t xml:space="preserve">woodland+shrubland </t>
  </si>
  <si>
    <t>Pounds CO2 emitted per pound fuel burned</t>
  </si>
  <si>
    <t>pounds CO2 emitted per pound of fuel burned</t>
  </si>
  <si>
    <t>Fuel for capture, per pound CO2 captured (gas more efficient so burn less fuel)</t>
  </si>
  <si>
    <t>pounds burned for steam to capture % shown, as fraction of total pounds burned</t>
  </si>
  <si>
    <t>pounds fuel burned for steam as fraction of total fuel whose CO2 is captured (or tons)</t>
  </si>
  <si>
    <t>pounds burned for steam per pound burned total</t>
  </si>
  <si>
    <t>multiply 2 preceding lines: multiply CO2 emitted per pound of fuel by fuel needed to create regeneration steam per pound of CO2</t>
  </si>
  <si>
    <t>pounds burned for steam per pound burned, to capture all co2</t>
  </si>
  <si>
    <t>pounds methane/kwh</t>
  </si>
  <si>
    <t>solve for leak rate which gives same CO2e with+without CCS: (inplantCO2 + upstreamCO2+N2O + gwp*Leaks)/kWh = (inplantCO2*noncapturerate + upstreamCO2+N2O + gwp*Leaks)/((1-C56)*kWh)</t>
  </si>
  <si>
    <t>Fee on downstream gas</t>
  </si>
  <si>
    <t>1 ton of methane burns to CO2 weighing 44/16 tons=2.75 tons CO2=2.75 times the warming power of a ton of CO2: fee= 2.75*15=$41.25/metric ton</t>
  </si>
  <si>
    <t xml:space="preserve">1 ton of methane escapes, with 28-96 times the warming power of a ton of CO2: fee= </t>
  </si>
  <si>
    <t>burns</t>
  </si>
  <si>
    <t>escapes</t>
  </si>
  <si>
    <t>scf/metric ton methane</t>
  </si>
  <si>
    <t>metric tons methane/1000scf (MCF)</t>
  </si>
  <si>
    <t>% of 2019 min price</t>
  </si>
  <si>
    <t>% of 2019 max price</t>
  </si>
  <si>
    <t>https://www.eia.gov/dnav/ng/hist/n3010us3m.htm</t>
  </si>
  <si>
    <t xml:space="preserve">     Scherer, USA average</t>
  </si>
  <si>
    <t>6 Dams</t>
  </si>
  <si>
    <t>Sam Rayburn Dam, TX, 16 lb/kWh</t>
  </si>
  <si>
    <t>Kentucky Dam, KY (TVA)</t>
  </si>
  <si>
    <t>Hoover Dam, NV, Lake Mead</t>
  </si>
  <si>
    <t>Glen Canyon Dam, AZ, Lake Powell</t>
  </si>
  <si>
    <t>Oahe Dam, SD, Missouri River</t>
  </si>
  <si>
    <t>Fort Peck Dam, MT, Missouri River</t>
  </si>
  <si>
    <t>above dams from Scherer spreadsheet</t>
  </si>
  <si>
    <t>volume</t>
  </si>
  <si>
    <t>name</t>
  </si>
  <si>
    <t>en_2009</t>
  </si>
  <si>
    <t>area_elec</t>
  </si>
  <si>
    <t>area_elec_log</t>
  </si>
  <si>
    <t>area</t>
  </si>
  <si>
    <t>area_log</t>
  </si>
  <si>
    <t>age</t>
  </si>
  <si>
    <t>age_log</t>
  </si>
  <si>
    <t>vol</t>
  </si>
  <si>
    <t>tmax_log</t>
  </si>
  <si>
    <t>erosion</t>
  </si>
  <si>
    <t>purpose</t>
  </si>
  <si>
    <t>multi</t>
  </si>
  <si>
    <t>allocation</t>
  </si>
  <si>
    <t>per energy</t>
  </si>
  <si>
    <t>co2_elec</t>
  </si>
  <si>
    <t>ch4_elec</t>
  </si>
  <si>
    <t>co2e_elec</t>
  </si>
  <si>
    <t>co2_elec_alloc</t>
  </si>
  <si>
    <t>ch4_elec_alloc</t>
  </si>
  <si>
    <t>co2e_elec_alloc</t>
  </si>
  <si>
    <t>areal fluxes</t>
  </si>
  <si>
    <t>co2_area</t>
  </si>
  <si>
    <t>ch4_area</t>
  </si>
  <si>
    <t>co2e_area</t>
  </si>
  <si>
    <t>co2_area_alloc</t>
  </si>
  <si>
    <t>ch4_area_alloc</t>
  </si>
  <si>
    <t>co2e_area_alloc</t>
  </si>
  <si>
    <t>co2e</t>
  </si>
  <si>
    <t>co2_alloc</t>
  </si>
  <si>
    <t>ch4_alloc</t>
  </si>
  <si>
    <t>co2e_alloc</t>
  </si>
  <si>
    <t>ch4_share</t>
  </si>
  <si>
    <t>corrected average</t>
  </si>
  <si>
    <t>co2_corr</t>
  </si>
  <si>
    <t>ch4_corr</t>
  </si>
  <si>
    <t>co2e_corr</t>
  </si>
  <si>
    <t>co2_corr _alloc kg/MWh=g/kWh</t>
  </si>
  <si>
    <t>ch4_corr _alloc</t>
  </si>
  <si>
    <t>ch4_corr _share</t>
  </si>
  <si>
    <t>gwp20</t>
  </si>
  <si>
    <t>co2e_gwp20</t>
  </si>
  <si>
    <t>co2e_ gwp20_ alloc</t>
  </si>
  <si>
    <t>ch4_ gwp20 _share</t>
  </si>
  <si>
    <t>CV</t>
  </si>
  <si>
    <t>CV co2</t>
  </si>
  <si>
    <t>CV ch4</t>
  </si>
  <si>
    <t>CV co2e</t>
  </si>
  <si>
    <t>usa</t>
  </si>
  <si>
    <t>Hoover</t>
  </si>
  <si>
    <t>SUPP</t>
  </si>
  <si>
    <t>Glen Canyon</t>
  </si>
  <si>
    <t>ELEC</t>
  </si>
  <si>
    <t>Oahe Dam</t>
  </si>
  <si>
    <t>FCON</t>
  </si>
  <si>
    <t>Fort Peck Dam</t>
  </si>
  <si>
    <t>Kentucky</t>
  </si>
  <si>
    <t>NAVI</t>
  </si>
  <si>
    <t>Sam Rayburn Dam And Reservoir</t>
  </si>
  <si>
    <r>
      <rPr>
        <b/>
        <sz val="8"/>
        <rFont val="Arial"/>
        <family val="2"/>
      </rPr>
      <t>co2e</t>
    </r>
    <r>
      <rPr>
        <sz val="8"/>
        <rFont val="Arial"/>
        <family val="2"/>
      </rPr>
      <t>_corr _alloc</t>
    </r>
  </si>
  <si>
    <t>country=usa</t>
  </si>
  <si>
    <t xml:space="preserve">id from Scherer spreadsheet www.plosone.org/article/fetchSingleRepresentation.action?uri=info:doi/10.1371/journal.pone.0161947.s004 </t>
  </si>
  <si>
    <t>HOOVER</t>
  </si>
  <si>
    <t>BOULDER</t>
  </si>
  <si>
    <t>NV10122</t>
  </si>
  <si>
    <t>CLARK, NV; MOHAVE, AZ</t>
  </si>
  <si>
    <t>COLORADO RIVER</t>
  </si>
  <si>
    <t>LAUGHLIN</t>
  </si>
  <si>
    <t>RECLAMATION</t>
  </si>
  <si>
    <t>F</t>
  </si>
  <si>
    <t>N</t>
  </si>
  <si>
    <t>CNPGVA</t>
  </si>
  <si>
    <t>A</t>
  </si>
  <si>
    <t>RK</t>
  </si>
  <si>
    <t>HIS</t>
  </si>
  <si>
    <t>GLEN CANYON</t>
  </si>
  <si>
    <t>AZ10307</t>
  </si>
  <si>
    <t>S24, T41N, R8E</t>
  </si>
  <si>
    <t>COCONINO</t>
  </si>
  <si>
    <t>LEES FERRY</t>
  </si>
  <si>
    <t>CNVA</t>
  </si>
  <si>
    <t>HIOR</t>
  </si>
  <si>
    <t>MISSOURI RIVER</t>
  </si>
  <si>
    <t>CENWO</t>
  </si>
  <si>
    <t>RE</t>
  </si>
  <si>
    <t>EIK</t>
  </si>
  <si>
    <t>RSK</t>
  </si>
  <si>
    <t/>
  </si>
  <si>
    <t>CHINR</t>
  </si>
  <si>
    <t>OAHE DAM</t>
  </si>
  <si>
    <t>LAKE OAHE</t>
  </si>
  <si>
    <t>SD01095</t>
  </si>
  <si>
    <t>HUGHES</t>
  </si>
  <si>
    <t>PIERRE</t>
  </si>
  <si>
    <t>FORT PECK DAM</t>
  </si>
  <si>
    <t>FORT PECK LAKE</t>
  </si>
  <si>
    <t>MT00025</t>
  </si>
  <si>
    <t>MCCONE</t>
  </si>
  <si>
    <t>NASHUA</t>
  </si>
  <si>
    <t>CHNRI</t>
  </si>
  <si>
    <t>KENTUCKY</t>
  </si>
  <si>
    <t>KENTUCKY LAKE</t>
  </si>
  <si>
    <t>KY05017</t>
  </si>
  <si>
    <t>MARSHALL; LIVINGSTON</t>
  </si>
  <si>
    <t>TENNESSEE RIVER</t>
  </si>
  <si>
    <t>CALVERT CITY</t>
  </si>
  <si>
    <t>TVA</t>
  </si>
  <si>
    <t>CNPGRE</t>
  </si>
  <si>
    <t>IEK</t>
  </si>
  <si>
    <t>CHNR</t>
  </si>
  <si>
    <t>SAM RAYBURN DAM AND RESERVOIR</t>
  </si>
  <si>
    <t>MCGEE BEND RESERVOIR</t>
  </si>
  <si>
    <t>TX00011</t>
  </si>
  <si>
    <t>JASPER</t>
  </si>
  <si>
    <t>ANGELINA RIVER</t>
  </si>
  <si>
    <t>EVADALE</t>
  </si>
  <si>
    <t>CESWF</t>
  </si>
  <si>
    <t>CSHRF</t>
  </si>
  <si>
    <t>acre-feet</t>
  </si>
  <si>
    <t>RECORDID</t>
  </si>
  <si>
    <t>DAM_NAME</t>
  </si>
  <si>
    <t>OTHER_DAM_NAME</t>
  </si>
  <si>
    <t>DAM_FORMER_NAME</t>
  </si>
  <si>
    <t>STATEID</t>
  </si>
  <si>
    <t>NIDID</t>
  </si>
  <si>
    <t>LONGITUDE</t>
  </si>
  <si>
    <t>LATITUDE</t>
  </si>
  <si>
    <t>SECTION</t>
  </si>
  <si>
    <t>COUNTY</t>
  </si>
  <si>
    <t>RIVER</t>
  </si>
  <si>
    <t>CITY</t>
  </si>
  <si>
    <t>DISTANCE</t>
  </si>
  <si>
    <t>OWNER_NAME</t>
  </si>
  <si>
    <t>OWNER_TYPE</t>
  </si>
  <si>
    <t>DAM_DESIGNER</t>
  </si>
  <si>
    <t>PRIVATE_DAM</t>
  </si>
  <si>
    <t>DAM_TYPE</t>
  </si>
  <si>
    <t>CORE</t>
  </si>
  <si>
    <t>FOUNDATION</t>
  </si>
  <si>
    <t>PURPOSES</t>
  </si>
  <si>
    <t>YEAR_COMPLETED</t>
  </si>
  <si>
    <t>YEAR_MODIFIED</t>
  </si>
  <si>
    <t>DAM_LENGTH</t>
  </si>
  <si>
    <t>DAM_HEIGHT</t>
  </si>
  <si>
    <t>STRUCTURAL_HEIGHT</t>
  </si>
  <si>
    <t>HYDRAULIC_HEIGHT</t>
  </si>
  <si>
    <t>NID_HEIGHT</t>
  </si>
  <si>
    <t>MAX_DISCHARGE</t>
  </si>
  <si>
    <t>MAX_STORAGE</t>
  </si>
  <si>
    <t>NORMAL_STORAGE</t>
  </si>
  <si>
    <t>NID_STORAGE, acre feet</t>
  </si>
  <si>
    <t>SURFACE_AREA, acres</t>
  </si>
  <si>
    <t>NID-usace</t>
  </si>
  <si>
    <t>ratio NID  acres to Scherer area</t>
  </si>
  <si>
    <t>1998-2008</t>
  </si>
  <si>
    <t>https://web.archive.org/web/20100323052336/http://www.usbr.gov/lc/hooverdam/faqs/powerfaq.html</t>
  </si>
  <si>
    <t>http://energy.gov/sites/prod/files/2016/01/f28/EIS-0480_Appendices_K-M.pdf</t>
  </si>
  <si>
    <t>http://www.nwd-mr.usace.army.mil/rcc/projdata/summaryengdat.pdf</t>
  </si>
  <si>
    <t>Tons Methane per Billion kWh</t>
  </si>
  <si>
    <t>g methane/kwh</t>
  </si>
  <si>
    <t>g CO2/kwh</t>
  </si>
  <si>
    <t>Tons Methane/yr</t>
  </si>
  <si>
    <t>Pounds Methane/kWh</t>
  </si>
  <si>
    <t>Billion kWh/year</t>
  </si>
  <si>
    <t>?</t>
  </si>
  <si>
    <t>Pounds CO2/kWh</t>
  </si>
  <si>
    <t>Sam Rayburn Dam, TX</t>
  </si>
  <si>
    <t xml:space="preserve">Hoover Dam, NV, Lake Mead Glen </t>
  </si>
  <si>
    <t>Canyon Dam, AZ, Lake Powell</t>
  </si>
  <si>
    <t>https://www.swpa.gov/PDFs/ARs/SWPA_FY2018_annual_report.pdf</t>
  </si>
  <si>
    <t>lb/kWh, Scherer</t>
  </si>
  <si>
    <t>million tons</t>
  </si>
  <si>
    <t>thousand MWh/yr=million kwh/yr</t>
  </si>
  <si>
    <t>tons/million kwh</t>
  </si>
  <si>
    <t>tons</t>
  </si>
  <si>
    <t>kg/MWh= g/kwh= tons/thousand MWh = tons/million kWh from Scherer usa in countries  tab, corr, not alloc</t>
  </si>
  <si>
    <t>allocated</t>
  </si>
  <si>
    <t>million tons/yr</t>
  </si>
  <si>
    <t>Acres in NID</t>
  </si>
  <si>
    <t>Ratio, and there are 247 acres per square kilometer</t>
  </si>
  <si>
    <t>area, km2</t>
  </si>
  <si>
    <t>Scherer</t>
  </si>
  <si>
    <t>area_elec, km2/GWh</t>
  </si>
  <si>
    <t>implied GWh. From CARMA?</t>
  </si>
  <si>
    <t xml:space="preserve"> tons methane</t>
  </si>
  <si>
    <t>tons CO2e</t>
  </si>
  <si>
    <t>GWP</t>
  </si>
  <si>
    <t>warming effect as % of full burn</t>
  </si>
  <si>
    <r>
      <t xml:space="preserve">Emissions to Generate Electricity, 2018 US (a graph is at bottom) </t>
    </r>
    <r>
      <rPr>
        <b/>
        <sz val="10"/>
        <color rgb="FFFF0000"/>
        <rFont val="Arial Narrow"/>
        <family val="2"/>
      </rPr>
      <t>version 1/10/2021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</si>
</sst>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0.0000"/>
    <numFmt numFmtId="168" formatCode="0.00000"/>
    <numFmt numFmtId="169" formatCode="_(* #,##0.000_);_(* \(#,##0.000\);_(* &quot;-&quot;??_);_(@_)"/>
    <numFmt numFmtId="170" formatCode="_(* #,##0.000000_);_(* \(#,##0.000000\);_(* &quot;-&quot;??_);_(@_)"/>
    <numFmt numFmtId="171" formatCode="_(* #,##0.0000000_);_(* \(#,##0.0000000\);_(* &quot;-&quot;??_);_(@_)"/>
    <numFmt numFmtId="172" formatCode="0.0%"/>
    <numFmt numFmtId="173" formatCode="0.0"/>
    <numFmt numFmtId="174" formatCode="#,##0.000"/>
    <numFmt numFmtId="175" formatCode="#,##0.000000000"/>
    <numFmt numFmtId="176" formatCode="#,##0.00000000"/>
    <numFmt numFmtId="177" formatCode="0.000"/>
    <numFmt numFmtId="178" formatCode="&quot;$&quot;#,##0.00"/>
    <numFmt numFmtId="179" formatCode="_(* #,##0.0_);_(* \(#,##0.0\);_(* &quot;-&quot;??_);_(@_)"/>
    <numFmt numFmtId="180" formatCode="0.000%"/>
    <numFmt numFmtId="181" formatCode="&quot;$&quot;#,##0"/>
    <numFmt numFmtId="182" formatCode="_ * #,##0_ ;_ * \-#,##0_ ;_ * &quot;-&quot;??_ ;_ @_ "/>
    <numFmt numFmtId="183" formatCode="_ * #,##0.00_ ;_ * \-#,##0.00_ ;_ * &quot;-&quot;??_ ;_ @_ "/>
  </numFmts>
  <fonts count="54">
    <font>
      <sz val="10"/>
      <name val="Arial"/>
    </font>
    <font>
      <sz val="10"/>
      <color theme="1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0"/>
      <color theme="1"/>
      <name val="Calibri"/>
      <family val="2"/>
      <scheme val="minor"/>
    </font>
    <font>
      <u/>
      <sz val="10"/>
      <color indexed="12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2060"/>
      <name val="Arial Narrow"/>
      <family val="2"/>
    </font>
    <font>
      <b/>
      <sz val="10"/>
      <color rgb="FF002060"/>
      <name val="Arial Narrow"/>
      <family val="2"/>
    </font>
    <font>
      <sz val="10"/>
      <color theme="9" tint="-0.499984740745262"/>
      <name val="Arial Narrow"/>
      <family val="2"/>
    </font>
    <font>
      <b/>
      <sz val="10"/>
      <color theme="9" tint="-0.499984740745262"/>
      <name val="Arial Narrow"/>
      <family val="2"/>
    </font>
    <font>
      <i/>
      <sz val="10"/>
      <color theme="9" tint="-0.499984740745262"/>
      <name val="Arial Narrow"/>
      <family val="2"/>
    </font>
    <font>
      <i/>
      <sz val="10"/>
      <color rgb="FF002060"/>
      <name val="Arial Narrow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00B050"/>
      <name val="Calibri"/>
      <family val="2"/>
      <scheme val="minor"/>
    </font>
    <font>
      <sz val="10"/>
      <color rgb="FF00B050"/>
      <name val="Arial"/>
      <family val="2"/>
    </font>
    <font>
      <sz val="10"/>
      <color rgb="FF00B050"/>
      <name val="Calibri"/>
      <family val="2"/>
      <scheme val="minor"/>
    </font>
    <font>
      <sz val="10"/>
      <color theme="1"/>
      <name val="Arial"/>
      <family val="2"/>
    </font>
    <font>
      <b/>
      <sz val="8"/>
      <name val="Arial Narrow"/>
      <family val="2"/>
    </font>
    <font>
      <b/>
      <sz val="8"/>
      <color rgb="FF002060"/>
      <name val="Arial Narrow"/>
      <family val="2"/>
    </font>
    <font>
      <sz val="8"/>
      <name val="Arial"/>
      <family val="2"/>
    </font>
    <font>
      <sz val="8"/>
      <color rgb="FF000000"/>
      <name val="Calibri"/>
      <family val="2"/>
    </font>
    <font>
      <sz val="8"/>
      <color rgb="FF00B050"/>
      <name val="Arial"/>
      <family val="2"/>
    </font>
    <font>
      <sz val="8"/>
      <color rgb="FF00B050"/>
      <name val="Calibri"/>
      <family val="2"/>
      <scheme val="minor"/>
    </font>
    <font>
      <sz val="8"/>
      <name val="Calibri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color rgb="FFFF0000"/>
      <name val="Arial Narrow"/>
      <family val="2"/>
    </font>
    <font>
      <sz val="9"/>
      <name val="Arial Narrow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Calibri"/>
      <family val="2"/>
      <scheme val="minor"/>
    </font>
    <font>
      <b/>
      <sz val="8"/>
      <color indexed="8"/>
      <name val="Arial Narrow"/>
      <family val="2"/>
    </font>
    <font>
      <sz val="8"/>
      <name val="Dialog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EBF2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A3FFA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DDDFF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472">
    <xf numFmtId="0" fontId="0" fillId="0" borderId="0" xfId="0"/>
    <xf numFmtId="164" fontId="8" fillId="0" borderId="0" xfId="1" applyNumberFormat="1" applyFont="1" applyAlignment="1">
      <alignment horizontal="right" wrapText="1"/>
    </xf>
    <xf numFmtId="0" fontId="9" fillId="0" borderId="0" xfId="0" applyFont="1"/>
    <xf numFmtId="0" fontId="5" fillId="0" borderId="0" xfId="0" applyFont="1"/>
    <xf numFmtId="0" fontId="0" fillId="0" borderId="0" xfId="0" applyAlignment="1"/>
    <xf numFmtId="164" fontId="8" fillId="0" borderId="0" xfId="1" applyNumberFormat="1" applyFont="1" applyAlignment="1">
      <alignment horizontal="right"/>
    </xf>
    <xf numFmtId="164" fontId="7" fillId="0" borderId="0" xfId="1" applyNumberFormat="1" applyFont="1" applyAlignment="1"/>
    <xf numFmtId="0" fontId="0" fillId="3" borderId="0" xfId="0" applyFill="1"/>
    <xf numFmtId="0" fontId="10" fillId="0" borderId="0" xfId="0" applyFont="1" applyAlignment="1">
      <alignment vertical="center"/>
    </xf>
    <xf numFmtId="0" fontId="0" fillId="4" borderId="0" xfId="0" applyFill="1"/>
    <xf numFmtId="0" fontId="5" fillId="0" borderId="0" xfId="0" applyFont="1" applyAlignment="1"/>
    <xf numFmtId="0" fontId="9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5" borderId="0" xfId="0" applyFill="1"/>
    <xf numFmtId="0" fontId="0" fillId="0" borderId="0" xfId="0" applyFont="1" applyAlignment="1"/>
    <xf numFmtId="3" fontId="6" fillId="6" borderId="0" xfId="0" applyNumberFormat="1" applyFont="1" applyFill="1" applyAlignment="1">
      <alignment vertical="center" wrapText="1"/>
    </xf>
    <xf numFmtId="0" fontId="0" fillId="3" borderId="0" xfId="0" applyFont="1" applyFill="1" applyAlignment="1"/>
    <xf numFmtId="3" fontId="6" fillId="3" borderId="0" xfId="0" applyNumberFormat="1" applyFont="1" applyFill="1" applyAlignment="1">
      <alignment vertical="center" wrapText="1"/>
    </xf>
    <xf numFmtId="0" fontId="12" fillId="7" borderId="0" xfId="0" applyFont="1" applyFill="1" applyAlignment="1">
      <alignment vertical="center"/>
    </xf>
    <xf numFmtId="3" fontId="0" fillId="7" borderId="0" xfId="0" applyNumberFormat="1" applyFill="1"/>
    <xf numFmtId="0" fontId="0" fillId="7" borderId="0" xfId="0" applyFill="1"/>
    <xf numFmtId="0" fontId="0" fillId="7" borderId="0" xfId="0" applyFont="1" applyFill="1" applyAlignment="1"/>
    <xf numFmtId="0" fontId="5" fillId="3" borderId="0" xfId="0" applyFont="1" applyFill="1"/>
    <xf numFmtId="0" fontId="5" fillId="7" borderId="0" xfId="0" applyFont="1" applyFill="1"/>
    <xf numFmtId="0" fontId="13" fillId="0" borderId="0" xfId="0" applyFont="1" applyAlignment="1">
      <alignment vertical="center"/>
    </xf>
    <xf numFmtId="166" fontId="7" fillId="0" borderId="0" xfId="1" applyNumberFormat="1" applyFont="1" applyAlignment="1"/>
    <xf numFmtId="43" fontId="7" fillId="0" borderId="0" xfId="1" applyNumberFormat="1" applyFont="1" applyAlignment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/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3" fontId="7" fillId="3" borderId="0" xfId="0" applyNumberFormat="1" applyFont="1" applyFill="1" applyAlignment="1">
      <alignment vertical="center" wrapText="1"/>
    </xf>
    <xf numFmtId="0" fontId="7" fillId="3" borderId="0" xfId="0" applyFont="1" applyFill="1"/>
    <xf numFmtId="0" fontId="8" fillId="0" borderId="0" xfId="0" applyFont="1" applyAlignment="1">
      <alignment horizontal="right" vertic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14" fillId="0" borderId="0" xfId="2" applyFont="1" applyAlignment="1" applyProtection="1">
      <alignment horizontal="left" vertical="center"/>
    </xf>
    <xf numFmtId="167" fontId="7" fillId="0" borderId="0" xfId="0" applyNumberFormat="1" applyFont="1"/>
    <xf numFmtId="0" fontId="8" fillId="0" borderId="0" xfId="0" applyFont="1" applyAlignment="1">
      <alignment horizontal="right" wrapText="1"/>
    </xf>
    <xf numFmtId="43" fontId="7" fillId="0" borderId="0" xfId="1" applyNumberFormat="1" applyFont="1" applyFill="1" applyAlignment="1"/>
    <xf numFmtId="173" fontId="0" fillId="0" borderId="0" xfId="0" applyNumberFormat="1"/>
    <xf numFmtId="164" fontId="8" fillId="0" borderId="0" xfId="1" applyNumberFormat="1" applyFont="1" applyAlignment="1"/>
    <xf numFmtId="164" fontId="7" fillId="0" borderId="0" xfId="1" applyNumberFormat="1" applyFont="1" applyBorder="1" applyAlignment="1"/>
    <xf numFmtId="0" fontId="5" fillId="0" borderId="0" xfId="0" applyFont="1" applyAlignment="1">
      <alignment wrapText="1"/>
    </xf>
    <xf numFmtId="17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1" applyNumberFormat="1" applyFont="1" applyAlignment="1">
      <alignment horizontal="left"/>
    </xf>
    <xf numFmtId="175" fontId="0" fillId="0" borderId="0" xfId="0" applyNumberFormat="1" applyAlignment="1">
      <alignment horizontal="left"/>
    </xf>
    <xf numFmtId="176" fontId="0" fillId="0" borderId="0" xfId="0" applyNumberFormat="1" applyAlignment="1">
      <alignment horizontal="left"/>
    </xf>
    <xf numFmtId="174" fontId="16" fillId="0" borderId="0" xfId="0" applyNumberFormat="1" applyFont="1" applyAlignment="1">
      <alignment horizontal="left" wrapText="1"/>
    </xf>
    <xf numFmtId="0" fontId="17" fillId="9" borderId="0" xfId="0" applyFont="1" applyFill="1"/>
    <xf numFmtId="3" fontId="16" fillId="0" borderId="0" xfId="0" applyNumberFormat="1" applyFont="1" applyAlignment="1">
      <alignment horizontal="left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3" borderId="0" xfId="0" applyFill="1" applyAlignment="1">
      <alignment horizontal="left"/>
    </xf>
    <xf numFmtId="0" fontId="5" fillId="3" borderId="0" xfId="0" applyFont="1" applyFill="1" applyAlignment="1">
      <alignment horizontal="left"/>
    </xf>
    <xf numFmtId="14" fontId="0" fillId="3" borderId="0" xfId="0" applyNumberFormat="1" applyFill="1" applyAlignment="1">
      <alignment horizontal="left"/>
    </xf>
    <xf numFmtId="2" fontId="9" fillId="0" borderId="0" xfId="0" applyNumberFormat="1" applyFont="1" applyAlignment="1">
      <alignment horizontal="left" wrapText="1"/>
    </xf>
    <xf numFmtId="2" fontId="7" fillId="0" borderId="0" xfId="1" applyNumberFormat="1" applyFont="1" applyAlignment="1">
      <alignment horizontal="left"/>
    </xf>
    <xf numFmtId="2" fontId="0" fillId="0" borderId="0" xfId="0" applyNumberFormat="1" applyAlignment="1">
      <alignment horizontal="left"/>
    </xf>
    <xf numFmtId="2" fontId="5" fillId="0" borderId="0" xfId="0" applyNumberFormat="1" applyFont="1" applyAlignment="1">
      <alignment horizontal="left"/>
    </xf>
    <xf numFmtId="2" fontId="0" fillId="3" borderId="0" xfId="0" applyNumberFormat="1" applyFill="1" applyAlignment="1">
      <alignment horizontal="left"/>
    </xf>
    <xf numFmtId="177" fontId="9" fillId="0" borderId="0" xfId="1" applyNumberFormat="1" applyFont="1" applyAlignment="1">
      <alignment horizontal="left" wrapText="1"/>
    </xf>
    <xf numFmtId="177" fontId="0" fillId="0" borderId="0" xfId="1" applyNumberFormat="1" applyFont="1" applyAlignment="1">
      <alignment horizontal="left"/>
    </xf>
    <xf numFmtId="167" fontId="0" fillId="0" borderId="0" xfId="1" applyNumberFormat="1" applyFont="1" applyAlignment="1">
      <alignment horizontal="left"/>
    </xf>
    <xf numFmtId="177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173" fontId="0" fillId="0" borderId="0" xfId="0" applyNumberFormat="1" applyAlignment="1">
      <alignment horizontal="left"/>
    </xf>
    <xf numFmtId="1" fontId="9" fillId="0" borderId="0" xfId="0" applyNumberFormat="1" applyFont="1" applyAlignment="1">
      <alignment horizontal="left" wrapText="1"/>
    </xf>
    <xf numFmtId="1" fontId="7" fillId="0" borderId="0" xfId="1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0" fillId="3" borderId="0" xfId="0" applyNumberFormat="1" applyFill="1" applyAlignment="1">
      <alignment horizontal="left"/>
    </xf>
    <xf numFmtId="1" fontId="5" fillId="0" borderId="0" xfId="0" applyNumberFormat="1" applyFont="1" applyAlignment="1">
      <alignment horizontal="left"/>
    </xf>
    <xf numFmtId="167" fontId="9" fillId="0" borderId="0" xfId="0" applyNumberFormat="1" applyFont="1" applyAlignment="1">
      <alignment horizontal="left" wrapText="1"/>
    </xf>
    <xf numFmtId="167" fontId="5" fillId="0" borderId="0" xfId="0" applyNumberFormat="1" applyFont="1" applyAlignment="1">
      <alignment horizontal="left"/>
    </xf>
    <xf numFmtId="167" fontId="0" fillId="3" borderId="0" xfId="0" applyNumberFormat="1" applyFill="1" applyAlignment="1">
      <alignment horizontal="left"/>
    </xf>
    <xf numFmtId="167" fontId="5" fillId="0" borderId="0" xfId="1" applyNumberFormat="1" applyFont="1" applyAlignment="1">
      <alignment horizontal="left"/>
    </xf>
    <xf numFmtId="164" fontId="18" fillId="0" borderId="0" xfId="1" applyNumberFormat="1" applyFont="1" applyAlignment="1"/>
    <xf numFmtId="169" fontId="18" fillId="0" borderId="0" xfId="1" applyNumberFormat="1" applyFont="1" applyAlignment="1"/>
    <xf numFmtId="164" fontId="18" fillId="0" borderId="0" xfId="1" applyNumberFormat="1" applyFont="1" applyFill="1" applyAlignment="1"/>
    <xf numFmtId="164" fontId="20" fillId="0" borderId="0" xfId="1" applyNumberFormat="1" applyFont="1" applyAlignment="1"/>
    <xf numFmtId="43" fontId="7" fillId="0" borderId="0" xfId="0" applyNumberFormat="1" applyFont="1" applyFill="1" applyAlignment="1">
      <alignment vertical="center"/>
    </xf>
    <xf numFmtId="43" fontId="18" fillId="0" borderId="0" xfId="1" applyNumberFormat="1" applyFont="1" applyFill="1" applyAlignment="1"/>
    <xf numFmtId="172" fontId="18" fillId="0" borderId="0" xfId="3" applyNumberFormat="1" applyFont="1" applyFill="1" applyAlignment="1"/>
    <xf numFmtId="2" fontId="18" fillId="0" borderId="0" xfId="0" applyNumberFormat="1" applyFont="1" applyFill="1" applyAlignment="1"/>
    <xf numFmtId="166" fontId="18" fillId="0" borderId="0" xfId="1" applyNumberFormat="1" applyFont="1" applyFill="1" applyAlignment="1"/>
    <xf numFmtId="164" fontId="18" fillId="3" borderId="0" xfId="1" applyNumberFormat="1" applyFont="1" applyFill="1" applyAlignment="1"/>
    <xf numFmtId="169" fontId="18" fillId="3" borderId="0" xfId="1" applyNumberFormat="1" applyFont="1" applyFill="1" applyAlignment="1"/>
    <xf numFmtId="0" fontId="18" fillId="8" borderId="0" xfId="0" applyFont="1" applyFill="1" applyAlignment="1">
      <alignment vertical="center"/>
    </xf>
    <xf numFmtId="164" fontId="18" fillId="8" borderId="0" xfId="1" applyNumberFormat="1" applyFont="1" applyFill="1" applyAlignment="1"/>
    <xf numFmtId="0" fontId="18" fillId="8" borderId="0" xfId="0" applyFont="1" applyFill="1"/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/>
    <xf numFmtId="0" fontId="18" fillId="3" borderId="0" xfId="0" applyFont="1" applyFill="1" applyAlignment="1">
      <alignment vertical="center"/>
    </xf>
    <xf numFmtId="164" fontId="18" fillId="0" borderId="0" xfId="1" applyNumberFormat="1" applyFont="1" applyFill="1" applyBorder="1" applyAlignment="1"/>
    <xf numFmtId="164" fontId="19" fillId="0" borderId="2" xfId="1" applyNumberFormat="1" applyFont="1" applyFill="1" applyBorder="1" applyAlignment="1"/>
    <xf numFmtId="168" fontId="19" fillId="0" borderId="2" xfId="1" applyNumberFormat="1" applyFont="1" applyFill="1" applyBorder="1" applyAlignment="1"/>
    <xf numFmtId="171" fontId="19" fillId="0" borderId="2" xfId="1" applyNumberFormat="1" applyFont="1" applyFill="1" applyBorder="1" applyAlignment="1"/>
    <xf numFmtId="164" fontId="19" fillId="0" borderId="0" xfId="1" applyNumberFormat="1" applyFont="1" applyFill="1" applyAlignment="1"/>
    <xf numFmtId="9" fontId="19" fillId="0" borderId="0" xfId="3" applyFont="1" applyFill="1" applyAlignment="1"/>
    <xf numFmtId="171" fontId="19" fillId="0" borderId="0" xfId="1" applyNumberFormat="1" applyFont="1" applyFill="1" applyAlignment="1"/>
    <xf numFmtId="0" fontId="19" fillId="0" borderId="0" xfId="0" applyFont="1" applyFill="1" applyAlignment="1">
      <alignment vertical="center"/>
    </xf>
    <xf numFmtId="0" fontId="20" fillId="0" borderId="0" xfId="1" applyNumberFormat="1" applyFont="1" applyAlignment="1">
      <alignment horizontal="left" vertical="center"/>
    </xf>
    <xf numFmtId="164" fontId="21" fillId="0" borderId="0" xfId="1" applyNumberFormat="1" applyFont="1" applyAlignment="1">
      <alignment horizontal="right"/>
    </xf>
    <xf numFmtId="169" fontId="20" fillId="0" borderId="0" xfId="1" applyNumberFormat="1" applyFont="1" applyAlignment="1"/>
    <xf numFmtId="170" fontId="20" fillId="0" borderId="0" xfId="1" applyNumberFormat="1" applyFont="1" applyAlignment="1"/>
    <xf numFmtId="0" fontId="8" fillId="0" borderId="0" xfId="1" applyNumberFormat="1" applyFont="1" applyAlignment="1">
      <alignment horizontal="left" vertical="center" wrapText="1"/>
    </xf>
    <xf numFmtId="2" fontId="20" fillId="0" borderId="0" xfId="0" applyNumberFormat="1" applyFont="1" applyAlignment="1">
      <alignment horizontal="left"/>
    </xf>
    <xf numFmtId="174" fontId="18" fillId="0" borderId="0" xfId="0" applyNumberFormat="1" applyFont="1" applyFill="1" applyAlignment="1">
      <alignment horizontal="left"/>
    </xf>
    <xf numFmtId="164" fontId="22" fillId="0" borderId="0" xfId="1" applyNumberFormat="1" applyFont="1" applyAlignment="1"/>
    <xf numFmtId="164" fontId="23" fillId="0" borderId="0" xfId="1" applyNumberFormat="1" applyFont="1" applyAlignment="1"/>
    <xf numFmtId="164" fontId="23" fillId="0" borderId="0" xfId="1" applyNumberFormat="1" applyFont="1" applyFill="1" applyAlignment="1"/>
    <xf numFmtId="164" fontId="19" fillId="0" borderId="0" xfId="1" applyNumberFormat="1" applyFont="1" applyFill="1" applyBorder="1" applyAlignment="1"/>
    <xf numFmtId="0" fontId="18" fillId="0" borderId="0" xfId="1" applyNumberFormat="1" applyFont="1" applyFill="1" applyAlignment="1"/>
    <xf numFmtId="0" fontId="18" fillId="0" borderId="0" xfId="0" applyNumberFormat="1" applyFont="1" applyFill="1" applyAlignment="1">
      <alignment vertical="center"/>
    </xf>
    <xf numFmtId="0" fontId="18" fillId="0" borderId="0" xfId="1" applyNumberFormat="1" applyFont="1" applyFill="1" applyBorder="1" applyAlignment="1"/>
    <xf numFmtId="0" fontId="18" fillId="0" borderId="0" xfId="3" applyNumberFormat="1" applyFont="1" applyFill="1" applyAlignment="1"/>
    <xf numFmtId="0" fontId="19" fillId="0" borderId="0" xfId="1" applyNumberFormat="1" applyFont="1" applyFill="1" applyAlignment="1"/>
    <xf numFmtId="164" fontId="8" fillId="0" borderId="0" xfId="1" applyNumberFormat="1" applyFont="1" applyAlignment="1">
      <alignment horizontal="left" wrapText="1"/>
    </xf>
    <xf numFmtId="164" fontId="8" fillId="7" borderId="0" xfId="1" applyNumberFormat="1" applyFont="1" applyFill="1" applyBorder="1" applyAlignment="1"/>
    <xf numFmtId="164" fontId="7" fillId="7" borderId="0" xfId="1" applyNumberFormat="1" applyFont="1" applyFill="1" applyBorder="1" applyAlignment="1"/>
    <xf numFmtId="164" fontId="7" fillId="7" borderId="0" xfId="1" applyNumberFormat="1" applyFont="1" applyFill="1" applyAlignment="1"/>
    <xf numFmtId="0" fontId="7" fillId="7" borderId="0" xfId="1" applyNumberFormat="1" applyFont="1" applyFill="1" applyAlignment="1">
      <alignment horizontal="left" vertical="center" wrapText="1"/>
    </xf>
    <xf numFmtId="164" fontId="8" fillId="7" borderId="0" xfId="1" applyNumberFormat="1" applyFont="1" applyFill="1" applyAlignment="1">
      <alignment horizontal="right" wrapText="1"/>
    </xf>
    <xf numFmtId="165" fontId="7" fillId="7" borderId="0" xfId="1" applyNumberFormat="1" applyFont="1" applyFill="1" applyAlignment="1"/>
    <xf numFmtId="0" fontId="18" fillId="7" borderId="0" xfId="1" applyNumberFormat="1" applyFont="1" applyFill="1" applyAlignment="1"/>
    <xf numFmtId="0" fontId="18" fillId="7" borderId="0" xfId="3" applyNumberFormat="1" applyFont="1" applyFill="1" applyAlignment="1"/>
    <xf numFmtId="0" fontId="18" fillId="7" borderId="0" xfId="0" applyNumberFormat="1" applyFont="1" applyFill="1" applyAlignment="1">
      <alignment vertical="center"/>
    </xf>
    <xf numFmtId="0" fontId="18" fillId="7" borderId="0" xfId="1" applyNumberFormat="1" applyFont="1" applyFill="1" applyBorder="1" applyAlignment="1"/>
    <xf numFmtId="9" fontId="7" fillId="7" borderId="0" xfId="3" applyFont="1" applyFill="1" applyBorder="1" applyAlignment="1"/>
    <xf numFmtId="9" fontId="7" fillId="7" borderId="0" xfId="3" applyFont="1" applyFill="1" applyAlignment="1"/>
    <xf numFmtId="0" fontId="7" fillId="7" borderId="0" xfId="0" applyFont="1" applyFill="1" applyAlignment="1">
      <alignment wrapText="1"/>
    </xf>
    <xf numFmtId="164" fontId="19" fillId="7" borderId="0" xfId="1" applyNumberFormat="1" applyFont="1" applyFill="1" applyAlignment="1"/>
    <xf numFmtId="171" fontId="19" fillId="7" borderId="0" xfId="1" applyNumberFormat="1" applyFont="1" applyFill="1" applyAlignment="1"/>
    <xf numFmtId="164" fontId="7" fillId="0" borderId="0" xfId="1" applyNumberFormat="1" applyFont="1" applyFill="1" applyAlignment="1"/>
    <xf numFmtId="171" fontId="7" fillId="0" borderId="0" xfId="1" applyNumberFormat="1" applyFont="1" applyFill="1" applyAlignment="1"/>
    <xf numFmtId="0" fontId="7" fillId="0" borderId="0" xfId="0" applyFont="1" applyFill="1" applyAlignment="1">
      <alignment vertical="center"/>
    </xf>
    <xf numFmtId="164" fontId="7" fillId="0" borderId="0" xfId="1" applyNumberFormat="1" applyFont="1" applyFill="1" applyBorder="1" applyAlignment="1"/>
    <xf numFmtId="164" fontId="7" fillId="3" borderId="0" xfId="1" applyNumberFormat="1" applyFont="1" applyFill="1" applyAlignment="1"/>
    <xf numFmtId="164" fontId="7" fillId="3" borderId="2" xfId="1" applyNumberFormat="1" applyFont="1" applyFill="1" applyBorder="1" applyAlignment="1"/>
    <xf numFmtId="164" fontId="7" fillId="3" borderId="0" xfId="1" applyNumberFormat="1" applyFont="1" applyFill="1" applyBorder="1" applyAlignment="1"/>
    <xf numFmtId="9" fontId="7" fillId="3" borderId="0" xfId="3" applyFont="1" applyFill="1" applyBorder="1" applyAlignment="1"/>
    <xf numFmtId="0" fontId="7" fillId="3" borderId="0" xfId="0" applyFont="1" applyFill="1" applyBorder="1" applyAlignment="1">
      <alignment vertical="center"/>
    </xf>
    <xf numFmtId="164" fontId="19" fillId="3" borderId="0" xfId="1" applyNumberFormat="1" applyFont="1" applyFill="1" applyAlignment="1"/>
    <xf numFmtId="43" fontId="7" fillId="3" borderId="0" xfId="1" applyNumberFormat="1" applyFont="1" applyFill="1" applyAlignment="1"/>
    <xf numFmtId="164" fontId="18" fillId="7" borderId="0" xfId="3" applyNumberFormat="1" applyFont="1" applyFill="1" applyAlignment="1"/>
    <xf numFmtId="164" fontId="18" fillId="7" borderId="0" xfId="1" applyNumberFormat="1" applyFont="1" applyFill="1" applyAlignment="1"/>
    <xf numFmtId="0" fontId="9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7" borderId="0" xfId="0" applyFont="1" applyFill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/>
    <xf numFmtId="0" fontId="29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5" fillId="5" borderId="0" xfId="0" applyFont="1" applyFill="1"/>
    <xf numFmtId="173" fontId="9" fillId="0" borderId="0" xfId="0" applyNumberFormat="1" applyFont="1" applyAlignment="1">
      <alignment wrapText="1"/>
    </xf>
    <xf numFmtId="173" fontId="6" fillId="3" borderId="0" xfId="0" applyNumberFormat="1" applyFont="1" applyFill="1" applyAlignment="1">
      <alignment vertical="center" wrapText="1"/>
    </xf>
    <xf numFmtId="173" fontId="6" fillId="6" borderId="0" xfId="0" applyNumberFormat="1" applyFont="1" applyFill="1" applyAlignment="1">
      <alignment vertical="center" wrapText="1"/>
    </xf>
    <xf numFmtId="173" fontId="30" fillId="0" borderId="0" xfId="0" applyNumberFormat="1" applyFont="1"/>
    <xf numFmtId="173" fontId="31" fillId="0" borderId="0" xfId="3" applyNumberFormat="1" applyFont="1" applyAlignment="1">
      <alignment vertical="center"/>
    </xf>
    <xf numFmtId="173" fontId="31" fillId="0" borderId="0" xfId="0" applyNumberFormat="1" applyFont="1" applyAlignment="1">
      <alignment vertical="center"/>
    </xf>
    <xf numFmtId="173" fontId="10" fillId="0" borderId="0" xfId="0" applyNumberFormat="1" applyFont="1" applyAlignment="1">
      <alignment vertical="center" wrapText="1"/>
    </xf>
    <xf numFmtId="173" fontId="25" fillId="0" borderId="0" xfId="0" applyNumberFormat="1" applyFont="1" applyAlignment="1">
      <alignment vertical="center" wrapText="1"/>
    </xf>
    <xf numFmtId="173" fontId="10" fillId="5" borderId="0" xfId="0" applyNumberFormat="1" applyFont="1" applyFill="1" applyAlignment="1">
      <alignment vertical="center" wrapText="1"/>
    </xf>
    <xf numFmtId="173" fontId="5" fillId="0" borderId="0" xfId="0" applyNumberFormat="1" applyFont="1"/>
    <xf numFmtId="0" fontId="24" fillId="8" borderId="0" xfId="0" applyFont="1" applyFill="1" applyAlignment="1">
      <alignment vertical="center" wrapText="1"/>
    </xf>
    <xf numFmtId="0" fontId="10" fillId="8" borderId="0" xfId="0" applyFont="1" applyFill="1" applyAlignment="1">
      <alignment vertical="center" wrapText="1"/>
    </xf>
    <xf numFmtId="173" fontId="24" fillId="8" borderId="0" xfId="0" applyNumberFormat="1" applyFont="1" applyFill="1" applyAlignment="1">
      <alignment vertical="center" wrapText="1"/>
    </xf>
    <xf numFmtId="0" fontId="9" fillId="8" borderId="0" xfId="0" applyFont="1" applyFill="1"/>
    <xf numFmtId="0" fontId="10" fillId="8" borderId="0" xfId="0" applyFont="1" applyFill="1" applyAlignment="1">
      <alignment vertical="center"/>
    </xf>
    <xf numFmtId="0" fontId="5" fillId="8" borderId="0" xfId="0" applyFont="1" applyFill="1"/>
    <xf numFmtId="173" fontId="5" fillId="8" borderId="0" xfId="0" applyNumberFormat="1" applyFont="1" applyFill="1"/>
    <xf numFmtId="0" fontId="0" fillId="8" borderId="0" xfId="0" applyFill="1"/>
    <xf numFmtId="173" fontId="10" fillId="8" borderId="0" xfId="0" applyNumberFormat="1" applyFont="1" applyFill="1" applyAlignment="1">
      <alignment vertical="center" wrapText="1"/>
    </xf>
    <xf numFmtId="43" fontId="0" fillId="8" borderId="0" xfId="0" applyNumberFormat="1" applyFill="1"/>
    <xf numFmtId="173" fontId="0" fillId="8" borderId="0" xfId="0" applyNumberFormat="1" applyFill="1"/>
    <xf numFmtId="1" fontId="24" fillId="8" borderId="0" xfId="0" applyNumberFormat="1" applyFont="1" applyFill="1" applyAlignment="1">
      <alignment vertical="center" wrapText="1"/>
    </xf>
    <xf numFmtId="0" fontId="9" fillId="8" borderId="0" xfId="0" applyFont="1" applyFill="1" applyAlignment="1">
      <alignment horizontal="right" wrapText="1"/>
    </xf>
    <xf numFmtId="9" fontId="10" fillId="0" borderId="0" xfId="3" applyFont="1" applyAlignment="1">
      <alignment vertical="center" wrapText="1"/>
    </xf>
    <xf numFmtId="1" fontId="5" fillId="0" borderId="0" xfId="0" applyNumberFormat="1" applyFont="1"/>
    <xf numFmtId="164" fontId="5" fillId="0" borderId="0" xfId="1" applyNumberFormat="1" applyFont="1"/>
    <xf numFmtId="0" fontId="32" fillId="0" borderId="0" xfId="0" applyFont="1" applyAlignment="1">
      <alignment wrapText="1"/>
    </xf>
    <xf numFmtId="9" fontId="5" fillId="0" borderId="0" xfId="3" applyFont="1"/>
    <xf numFmtId="43" fontId="18" fillId="3" borderId="0" xfId="1" applyNumberFormat="1" applyFont="1" applyFill="1" applyAlignment="1"/>
    <xf numFmtId="2" fontId="18" fillId="3" borderId="0" xfId="0" applyNumberFormat="1" applyFont="1" applyFill="1" applyAlignment="1"/>
    <xf numFmtId="174" fontId="18" fillId="3" borderId="0" xfId="0" applyNumberFormat="1" applyFont="1" applyFill="1" applyAlignment="1">
      <alignment horizontal="left"/>
    </xf>
    <xf numFmtId="164" fontId="24" fillId="0" borderId="0" xfId="1" applyNumberFormat="1" applyFont="1" applyAlignment="1">
      <alignment vertical="center" wrapText="1"/>
    </xf>
    <xf numFmtId="164" fontId="10" fillId="0" borderId="0" xfId="1" applyNumberFormat="1" applyFont="1" applyAlignment="1">
      <alignment vertical="center" wrapText="1"/>
    </xf>
    <xf numFmtId="164" fontId="25" fillId="0" borderId="0" xfId="1" applyNumberFormat="1" applyFont="1" applyAlignment="1">
      <alignment vertical="center" wrapText="1"/>
    </xf>
    <xf numFmtId="164" fontId="10" fillId="3" borderId="0" xfId="1" applyNumberFormat="1" applyFont="1" applyFill="1" applyAlignment="1">
      <alignment vertical="center" wrapText="1"/>
    </xf>
    <xf numFmtId="164" fontId="10" fillId="7" borderId="0" xfId="1" applyNumberFormat="1" applyFont="1" applyFill="1" applyAlignment="1">
      <alignment vertical="center" wrapText="1"/>
    </xf>
    <xf numFmtId="0" fontId="24" fillId="0" borderId="0" xfId="0" applyNumberFormat="1" applyFont="1" applyAlignment="1">
      <alignment vertical="center" wrapText="1"/>
    </xf>
    <xf numFmtId="179" fontId="18" fillId="3" borderId="0" xfId="1" applyNumberFormat="1" applyFont="1" applyFill="1" applyAlignment="1"/>
    <xf numFmtId="0" fontId="7" fillId="0" borderId="0" xfId="0" applyFont="1" applyAlignment="1">
      <alignment vertical="center"/>
    </xf>
    <xf numFmtId="169" fontId="7" fillId="3" borderId="0" xfId="1" applyNumberFormat="1" applyFont="1" applyFill="1" applyAlignment="1"/>
    <xf numFmtId="0" fontId="8" fillId="0" borderId="0" xfId="1" applyNumberFormat="1" applyFont="1" applyAlignment="1">
      <alignment horizontal="left" wrapText="1"/>
    </xf>
    <xf numFmtId="180" fontId="18" fillId="0" borderId="0" xfId="1" applyNumberFormat="1" applyFont="1" applyFill="1" applyAlignment="1"/>
    <xf numFmtId="0" fontId="18" fillId="3" borderId="0" xfId="1" applyNumberFormat="1" applyFont="1" applyFill="1" applyAlignment="1"/>
    <xf numFmtId="0" fontId="18" fillId="3" borderId="0" xfId="0" applyNumberFormat="1" applyFont="1" applyFill="1" applyAlignment="1">
      <alignment vertical="center"/>
    </xf>
    <xf numFmtId="0" fontId="18" fillId="3" borderId="0" xfId="1" applyNumberFormat="1" applyFont="1" applyFill="1" applyBorder="1" applyAlignment="1"/>
    <xf numFmtId="9" fontId="18" fillId="3" borderId="0" xfId="3" applyFont="1" applyFill="1" applyAlignment="1"/>
    <xf numFmtId="171" fontId="18" fillId="3" borderId="0" xfId="1" applyNumberFormat="1" applyFont="1" applyFill="1" applyAlignment="1"/>
    <xf numFmtId="164" fontId="18" fillId="3" borderId="0" xfId="1" applyNumberFormat="1" applyFont="1" applyFill="1" applyBorder="1" applyAlignment="1"/>
    <xf numFmtId="164" fontId="19" fillId="0" borderId="0" xfId="1" applyNumberFormat="1" applyFont="1" applyAlignment="1"/>
    <xf numFmtId="164" fontId="6" fillId="0" borderId="0" xfId="1" applyNumberFormat="1" applyFont="1" applyAlignment="1"/>
    <xf numFmtId="172" fontId="18" fillId="3" borderId="0" xfId="3" applyNumberFormat="1" applyFont="1" applyFill="1" applyAlignment="1"/>
    <xf numFmtId="180" fontId="18" fillId="3" borderId="0" xfId="1" applyNumberFormat="1" applyFont="1" applyFill="1" applyAlignment="1"/>
    <xf numFmtId="164" fontId="18" fillId="0" borderId="0" xfId="1" applyNumberFormat="1" applyFont="1" applyFill="1" applyAlignment="1">
      <alignment horizontal="left"/>
    </xf>
    <xf numFmtId="164" fontId="18" fillId="0" borderId="2" xfId="1" applyNumberFormat="1" applyFont="1" applyFill="1" applyBorder="1" applyAlignment="1"/>
    <xf numFmtId="0" fontId="18" fillId="0" borderId="2" xfId="0" applyFont="1" applyFill="1" applyBorder="1" applyAlignment="1">
      <alignment vertical="center"/>
    </xf>
    <xf numFmtId="164" fontId="7" fillId="0" borderId="0" xfId="1" applyNumberFormat="1" applyFont="1" applyAlignment="1">
      <alignment horizontal="right"/>
    </xf>
    <xf numFmtId="0" fontId="7" fillId="0" borderId="0" xfId="0" applyFont="1" applyFill="1" applyAlignment="1"/>
    <xf numFmtId="0" fontId="7" fillId="7" borderId="0" xfId="0" applyFont="1" applyFill="1"/>
    <xf numFmtId="0" fontId="18" fillId="7" borderId="0" xfId="0" applyFont="1" applyFill="1" applyAlignment="1">
      <alignment vertical="center"/>
    </xf>
    <xf numFmtId="171" fontId="19" fillId="3" borderId="0" xfId="1" applyNumberFormat="1" applyFont="1" applyFill="1" applyAlignment="1"/>
    <xf numFmtId="178" fontId="33" fillId="3" borderId="0" xfId="0" applyNumberFormat="1" applyFont="1" applyFill="1" applyAlignment="1"/>
    <xf numFmtId="164" fontId="34" fillId="3" borderId="0" xfId="1" applyNumberFormat="1" applyFont="1" applyFill="1" applyAlignment="1"/>
    <xf numFmtId="171" fontId="34" fillId="3" borderId="0" xfId="1" applyNumberFormat="1" applyFont="1" applyFill="1" applyAlignment="1"/>
    <xf numFmtId="43" fontId="18" fillId="7" borderId="0" xfId="3" applyNumberFormat="1" applyFont="1" applyFill="1" applyAlignment="1"/>
    <xf numFmtId="164" fontId="7" fillId="0" borderId="0" xfId="1" applyNumberFormat="1" applyFont="1" applyAlignment="1">
      <alignment horizontal="left"/>
    </xf>
    <xf numFmtId="172" fontId="19" fillId="0" borderId="2" xfId="3" applyNumberFormat="1" applyFont="1" applyFill="1" applyBorder="1" applyAlignment="1"/>
    <xf numFmtId="169" fontId="18" fillId="3" borderId="0" xfId="3" applyNumberFormat="1" applyFont="1" applyFill="1" applyAlignment="1"/>
    <xf numFmtId="169" fontId="18" fillId="0" borderId="0" xfId="1" applyNumberFormat="1" applyFont="1" applyFill="1" applyAlignment="1"/>
    <xf numFmtId="169" fontId="18" fillId="0" borderId="0" xfId="0" applyNumberFormat="1" applyFont="1" applyFill="1" applyAlignment="1">
      <alignment vertical="center"/>
    </xf>
    <xf numFmtId="169" fontId="18" fillId="3" borderId="0" xfId="0" applyNumberFormat="1" applyFont="1" applyFill="1" applyAlignment="1">
      <alignment vertical="center"/>
    </xf>
    <xf numFmtId="169" fontId="18" fillId="0" borderId="0" xfId="1" applyNumberFormat="1" applyFont="1" applyFill="1" applyBorder="1" applyAlignment="1"/>
    <xf numFmtId="169" fontId="18" fillId="0" borderId="0" xfId="3" applyNumberFormat="1" applyFont="1" applyFill="1" applyAlignment="1"/>
    <xf numFmtId="164" fontId="18" fillId="0" borderId="0" xfId="0" applyNumberFormat="1" applyFont="1" applyFill="1" applyAlignment="1">
      <alignment vertical="center"/>
    </xf>
    <xf numFmtId="164" fontId="19" fillId="0" borderId="0" xfId="0" applyNumberFormat="1" applyFont="1" applyFill="1" applyAlignment="1"/>
    <xf numFmtId="169" fontId="7" fillId="0" borderId="0" xfId="1" applyNumberFormat="1" applyFont="1" applyFill="1" applyAlignment="1"/>
    <xf numFmtId="164" fontId="1" fillId="0" borderId="0" xfId="1" applyNumberFormat="1" applyFont="1" applyAlignment="1"/>
    <xf numFmtId="164" fontId="1" fillId="0" borderId="0" xfId="1" applyNumberFormat="1" applyFont="1" applyFill="1" applyAlignment="1"/>
    <xf numFmtId="0" fontId="1" fillId="0" borderId="0" xfId="1" applyNumberFormat="1" applyFont="1" applyAlignment="1"/>
    <xf numFmtId="0" fontId="1" fillId="3" borderId="0" xfId="1" applyNumberFormat="1" applyFont="1" applyFill="1" applyAlignment="1"/>
    <xf numFmtId="0" fontId="1" fillId="0" borderId="0" xfId="1" applyNumberFormat="1" applyFont="1" applyFill="1" applyAlignment="1"/>
    <xf numFmtId="0" fontId="7" fillId="3" borderId="0" xfId="0" applyFont="1" applyFill="1" applyBorder="1" applyAlignment="1">
      <alignment horizontal="right" vertical="center"/>
    </xf>
    <xf numFmtId="178" fontId="7" fillId="7" borderId="0" xfId="0" applyNumberFormat="1" applyFont="1" applyFill="1" applyAlignment="1"/>
    <xf numFmtId="164" fontId="1" fillId="3" borderId="0" xfId="1" applyNumberFormat="1" applyFont="1" applyFill="1" applyAlignment="1"/>
    <xf numFmtId="178" fontId="7" fillId="3" borderId="0" xfId="0" applyNumberFormat="1" applyFont="1" applyFill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4" fontId="0" fillId="0" borderId="0" xfId="0" applyNumberFormat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9" fontId="18" fillId="0" borderId="0" xfId="3" applyFont="1" applyFill="1" applyAlignment="1"/>
    <xf numFmtId="171" fontId="18" fillId="0" borderId="0" xfId="1" applyNumberFormat="1" applyFont="1" applyFill="1" applyAlignment="1"/>
    <xf numFmtId="0" fontId="7" fillId="8" borderId="0" xfId="0" applyNumberFormat="1" applyFont="1" applyFill="1" applyAlignment="1">
      <alignment horizontal="left" wrapText="1"/>
    </xf>
    <xf numFmtId="9" fontId="18" fillId="8" borderId="0" xfId="3" applyFont="1" applyFill="1" applyAlignment="1"/>
    <xf numFmtId="171" fontId="18" fillId="8" borderId="0" xfId="1" applyNumberFormat="1" applyFont="1" applyFill="1" applyAlignment="1"/>
    <xf numFmtId="164" fontId="18" fillId="8" borderId="0" xfId="1" applyNumberFormat="1" applyFont="1" applyFill="1" applyBorder="1" applyAlignment="1"/>
    <xf numFmtId="9" fontId="19" fillId="3" borderId="0" xfId="3" applyFont="1" applyFill="1" applyAlignment="1"/>
    <xf numFmtId="0" fontId="35" fillId="0" borderId="0" xfId="0" applyFont="1"/>
    <xf numFmtId="3" fontId="36" fillId="0" borderId="0" xfId="0" applyNumberFormat="1" applyFont="1" applyAlignment="1">
      <alignment vertical="center" wrapText="1"/>
    </xf>
    <xf numFmtId="3" fontId="36" fillId="7" borderId="0" xfId="0" applyNumberFormat="1" applyFont="1" applyFill="1" applyAlignment="1">
      <alignment vertical="center" wrapText="1"/>
    </xf>
    <xf numFmtId="3" fontId="36" fillId="4" borderId="0" xfId="0" applyNumberFormat="1" applyFont="1" applyFill="1" applyAlignment="1">
      <alignment vertical="center" wrapText="1"/>
    </xf>
    <xf numFmtId="3" fontId="36" fillId="3" borderId="0" xfId="0" applyNumberFormat="1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5" borderId="0" xfId="0" applyFont="1" applyFill="1" applyAlignment="1">
      <alignment vertical="center" wrapText="1"/>
    </xf>
    <xf numFmtId="0" fontId="36" fillId="4" borderId="0" xfId="0" applyFont="1" applyFill="1" applyAlignment="1">
      <alignment vertical="center" wrapText="1"/>
    </xf>
    <xf numFmtId="0" fontId="35" fillId="0" borderId="0" xfId="0" applyFont="1" applyAlignment="1">
      <alignment wrapText="1"/>
    </xf>
    <xf numFmtId="0" fontId="35" fillId="3" borderId="0" xfId="0" applyFont="1" applyFill="1"/>
    <xf numFmtId="0" fontId="35" fillId="7" borderId="0" xfId="0" applyFont="1" applyFill="1"/>
    <xf numFmtId="0" fontId="37" fillId="0" borderId="0" xfId="0" applyFont="1"/>
    <xf numFmtId="9" fontId="38" fillId="0" borderId="0" xfId="3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3" fontId="39" fillId="0" borderId="0" xfId="0" applyNumberFormat="1" applyFont="1" applyAlignment="1">
      <alignment vertical="center" wrapText="1"/>
    </xf>
    <xf numFmtId="0" fontId="39" fillId="8" borderId="0" xfId="0" applyFont="1" applyFill="1" applyAlignment="1">
      <alignment vertical="center" wrapText="1"/>
    </xf>
    <xf numFmtId="4" fontId="39" fillId="8" borderId="0" xfId="0" applyNumberFormat="1" applyFont="1" applyFill="1" applyAlignment="1">
      <alignment vertical="center" wrapText="1"/>
    </xf>
    <xf numFmtId="0" fontId="35" fillId="8" borderId="0" xfId="0" applyFont="1" applyFill="1"/>
    <xf numFmtId="10" fontId="39" fillId="0" borderId="0" xfId="0" applyNumberFormat="1" applyFont="1" applyAlignment="1">
      <alignment vertical="center" wrapText="1"/>
    </xf>
    <xf numFmtId="165" fontId="18" fillId="0" borderId="0" xfId="1" applyNumberFormat="1" applyFont="1" applyFill="1" applyAlignment="1"/>
    <xf numFmtId="9" fontId="19" fillId="0" borderId="0" xfId="3" applyFont="1" applyFill="1" applyBorder="1" applyAlignment="1"/>
    <xf numFmtId="164" fontId="19" fillId="0" borderId="0" xfId="3" applyNumberFormat="1" applyFont="1" applyFill="1" applyAlignment="1"/>
    <xf numFmtId="164" fontId="8" fillId="0" borderId="0" xfId="1" applyNumberFormat="1" applyFont="1" applyAlignment="1">
      <alignment horizontal="left"/>
    </xf>
    <xf numFmtId="164" fontId="7" fillId="3" borderId="0" xfId="1" applyNumberFormat="1" applyFont="1" applyFill="1" applyAlignment="1">
      <alignment horizontal="left"/>
    </xf>
    <xf numFmtId="164" fontId="7" fillId="0" borderId="0" xfId="1" applyNumberFormat="1" applyFont="1" applyFill="1" applyAlignment="1">
      <alignment horizontal="left"/>
    </xf>
    <xf numFmtId="2" fontId="7" fillId="3" borderId="0" xfId="1" applyNumberFormat="1" applyFont="1" applyFill="1" applyAlignment="1">
      <alignment horizontal="left"/>
    </xf>
    <xf numFmtId="2" fontId="7" fillId="0" borderId="0" xfId="1" applyNumberFormat="1" applyFont="1" applyFill="1" applyAlignment="1">
      <alignment horizontal="left"/>
    </xf>
    <xf numFmtId="164" fontId="11" fillId="0" borderId="0" xfId="1" applyNumberFormat="1" applyFont="1" applyAlignment="1">
      <alignment vertical="center" wrapText="1"/>
    </xf>
    <xf numFmtId="164" fontId="12" fillId="0" borderId="0" xfId="1" applyNumberFormat="1" applyFont="1" applyAlignment="1">
      <alignment vertical="center" wrapText="1"/>
    </xf>
    <xf numFmtId="164" fontId="12" fillId="7" borderId="0" xfId="1" applyNumberFormat="1" applyFont="1" applyFill="1" applyAlignment="1">
      <alignment vertical="center" wrapText="1"/>
    </xf>
    <xf numFmtId="164" fontId="12" fillId="4" borderId="0" xfId="1" applyNumberFormat="1" applyFont="1" applyFill="1" applyAlignment="1">
      <alignment vertical="center" wrapText="1"/>
    </xf>
    <xf numFmtId="164" fontId="12" fillId="3" borderId="0" xfId="1" applyNumberFormat="1" applyFont="1" applyFill="1" applyAlignment="1">
      <alignment vertical="center" wrapText="1"/>
    </xf>
    <xf numFmtId="164" fontId="12" fillId="5" borderId="0" xfId="1" applyNumberFormat="1" applyFont="1" applyFill="1" applyAlignment="1">
      <alignment vertical="center" wrapText="1"/>
    </xf>
    <xf numFmtId="0" fontId="9" fillId="0" borderId="0" xfId="1" applyNumberFormat="1" applyFont="1"/>
    <xf numFmtId="0" fontId="40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 wrapText="1"/>
    </xf>
    <xf numFmtId="3" fontId="41" fillId="0" borderId="0" xfId="0" applyNumberFormat="1" applyFont="1" applyAlignment="1">
      <alignment vertical="center" wrapText="1"/>
    </xf>
    <xf numFmtId="3" fontId="40" fillId="3" borderId="0" xfId="0" applyNumberFormat="1" applyFont="1" applyFill="1" applyAlignment="1">
      <alignment vertical="center" wrapText="1"/>
    </xf>
    <xf numFmtId="3" fontId="40" fillId="7" borderId="0" xfId="0" applyNumberFormat="1" applyFont="1" applyFill="1" applyAlignment="1">
      <alignment vertical="center" wrapText="1"/>
    </xf>
    <xf numFmtId="0" fontId="40" fillId="5" borderId="0" xfId="0" applyFont="1" applyFill="1" applyAlignment="1">
      <alignment vertical="center" wrapText="1"/>
    </xf>
    <xf numFmtId="0" fontId="5" fillId="0" borderId="0" xfId="0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173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2" fontId="0" fillId="0" borderId="0" xfId="0" applyNumberFormat="1" applyFill="1" applyAlignment="1">
      <alignment horizontal="left"/>
    </xf>
    <xf numFmtId="167" fontId="0" fillId="0" borderId="0" xfId="0" applyNumberFormat="1" applyFill="1" applyAlignment="1">
      <alignment horizontal="left"/>
    </xf>
    <xf numFmtId="177" fontId="0" fillId="0" borderId="0" xfId="1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177" fontId="0" fillId="10" borderId="0" xfId="1" applyNumberFormat="1" applyFont="1" applyFill="1" applyAlignment="1">
      <alignment horizontal="left"/>
    </xf>
    <xf numFmtId="177" fontId="9" fillId="8" borderId="0" xfId="1" applyNumberFormat="1" applyFont="1" applyFill="1" applyAlignment="1">
      <alignment horizontal="left" wrapText="1"/>
    </xf>
    <xf numFmtId="177" fontId="0" fillId="8" borderId="0" xfId="1" applyNumberFormat="1" applyFont="1" applyFill="1" applyAlignment="1">
      <alignment horizontal="left"/>
    </xf>
    <xf numFmtId="167" fontId="9" fillId="10" borderId="0" xfId="1" applyNumberFormat="1" applyFont="1" applyFill="1" applyAlignment="1">
      <alignment horizontal="left" wrapText="1"/>
    </xf>
    <xf numFmtId="167" fontId="0" fillId="10" borderId="0" xfId="1" applyNumberFormat="1" applyFont="1" applyFill="1" applyAlignment="1">
      <alignment horizontal="left"/>
    </xf>
    <xf numFmtId="177" fontId="0" fillId="3" borderId="0" xfId="1" applyNumberFormat="1" applyFont="1" applyFill="1" applyAlignment="1">
      <alignment horizontal="left"/>
    </xf>
    <xf numFmtId="167" fontId="5" fillId="3" borderId="0" xfId="1" applyNumberFormat="1" applyFont="1" applyFill="1" applyAlignment="1">
      <alignment horizontal="left"/>
    </xf>
    <xf numFmtId="0" fontId="5" fillId="10" borderId="0" xfId="0" applyFont="1" applyFill="1" applyAlignment="1">
      <alignment horizontal="left"/>
    </xf>
    <xf numFmtId="0" fontId="0" fillId="10" borderId="0" xfId="0" applyFill="1" applyAlignment="1">
      <alignment horizontal="left"/>
    </xf>
    <xf numFmtId="1" fontId="0" fillId="10" borderId="0" xfId="0" applyNumberFormat="1" applyFill="1" applyAlignment="1">
      <alignment horizontal="left"/>
    </xf>
    <xf numFmtId="2" fontId="0" fillId="10" borderId="0" xfId="0" applyNumberFormat="1" applyFill="1" applyAlignment="1">
      <alignment horizontal="left"/>
    </xf>
    <xf numFmtId="167" fontId="0" fillId="10" borderId="0" xfId="0" applyNumberFormat="1" applyFill="1" applyAlignment="1">
      <alignment horizontal="left"/>
    </xf>
    <xf numFmtId="177" fontId="0" fillId="10" borderId="0" xfId="0" applyNumberFormat="1" applyFill="1" applyAlignment="1">
      <alignment horizontal="left"/>
    </xf>
    <xf numFmtId="1" fontId="9" fillId="6" borderId="0" xfId="0" applyNumberFormat="1" applyFont="1" applyFill="1" applyAlignment="1">
      <alignment horizontal="left" wrapText="1"/>
    </xf>
    <xf numFmtId="1" fontId="7" fillId="6" borderId="0" xfId="1" applyNumberFormat="1" applyFont="1" applyFill="1" applyAlignment="1">
      <alignment horizontal="left"/>
    </xf>
    <xf numFmtId="1" fontId="0" fillId="6" borderId="0" xfId="0" applyNumberFormat="1" applyFill="1" applyAlignment="1">
      <alignment horizontal="left"/>
    </xf>
    <xf numFmtId="43" fontId="7" fillId="0" borderId="0" xfId="1" applyNumberFormat="1" applyFont="1" applyAlignment="1">
      <alignment horizontal="left"/>
    </xf>
    <xf numFmtId="166" fontId="18" fillId="0" borderId="0" xfId="1" applyNumberFormat="1" applyFont="1" applyFill="1" applyBorder="1" applyAlignment="1"/>
    <xf numFmtId="43" fontId="18" fillId="0" borderId="0" xfId="1" applyFont="1" applyFill="1" applyAlignment="1"/>
    <xf numFmtId="0" fontId="7" fillId="3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left"/>
    </xf>
    <xf numFmtId="177" fontId="7" fillId="0" borderId="0" xfId="1" applyNumberFormat="1" applyFont="1" applyAlignment="1">
      <alignment horizontal="left"/>
    </xf>
    <xf numFmtId="177" fontId="7" fillId="0" borderId="0" xfId="0" applyNumberFormat="1" applyFont="1" applyAlignment="1">
      <alignment horizontal="left"/>
    </xf>
    <xf numFmtId="167" fontId="7" fillId="0" borderId="0" xfId="1" applyNumberFormat="1" applyFont="1" applyAlignment="1">
      <alignment horizontal="left"/>
    </xf>
    <xf numFmtId="178" fontId="7" fillId="0" borderId="0" xfId="0" applyNumberFormat="1" applyFont="1" applyAlignment="1">
      <alignment horizontal="left"/>
    </xf>
    <xf numFmtId="178" fontId="43" fillId="0" borderId="0" xfId="0" applyNumberFormat="1" applyFont="1" applyAlignment="1">
      <alignment horizontal="left"/>
    </xf>
    <xf numFmtId="181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5" fontId="0" fillId="0" borderId="0" xfId="1" applyNumberFormat="1" applyFont="1" applyAlignment="1">
      <alignment horizontal="left"/>
    </xf>
    <xf numFmtId="165" fontId="0" fillId="0" borderId="0" xfId="0" applyNumberFormat="1" applyAlignment="1">
      <alignment horizontal="left"/>
    </xf>
    <xf numFmtId="9" fontId="7" fillId="0" borderId="0" xfId="3" applyFont="1" applyAlignment="1">
      <alignment horizontal="left"/>
    </xf>
    <xf numFmtId="182" fontId="44" fillId="5" borderId="0" xfId="0" applyNumberFormat="1" applyFont="1" applyFill="1"/>
    <xf numFmtId="183" fontId="44" fillId="5" borderId="0" xfId="0" applyNumberFormat="1" applyFont="1" applyFill="1"/>
    <xf numFmtId="182" fontId="44" fillId="3" borderId="0" xfId="0" applyNumberFormat="1" applyFont="1" applyFill="1"/>
    <xf numFmtId="183" fontId="44" fillId="3" borderId="0" xfId="0" applyNumberFormat="1" applyFont="1" applyFill="1"/>
    <xf numFmtId="0" fontId="44" fillId="5" borderId="0" xfId="0" applyFont="1" applyFill="1"/>
    <xf numFmtId="0" fontId="2" fillId="5" borderId="0" xfId="0" applyFont="1" applyFill="1"/>
    <xf numFmtId="0" fontId="0" fillId="0" borderId="0" xfId="0" applyAlignment="1">
      <alignment vertical="top" wrapText="1"/>
    </xf>
    <xf numFmtId="0" fontId="4" fillId="0" borderId="0" xfId="0" applyFont="1"/>
    <xf numFmtId="43" fontId="4" fillId="0" borderId="0" xfId="1" applyFont="1" applyFill="1" applyAlignment="1">
      <alignment vertical="top" wrapText="1"/>
    </xf>
    <xf numFmtId="43" fontId="4" fillId="3" borderId="0" xfId="1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43" fontId="46" fillId="5" borderId="0" xfId="1" applyFont="1" applyFill="1" applyAlignment="1"/>
    <xf numFmtId="164" fontId="46" fillId="5" borderId="0" xfId="1" applyNumberFormat="1" applyFont="1" applyFill="1" applyAlignment="1"/>
    <xf numFmtId="43" fontId="4" fillId="5" borderId="0" xfId="1" applyFont="1" applyFill="1" applyAlignment="1"/>
    <xf numFmtId="164" fontId="4" fillId="5" borderId="0" xfId="1" applyNumberFormat="1" applyFont="1" applyFill="1" applyAlignment="1"/>
    <xf numFmtId="43" fontId="4" fillId="3" borderId="0" xfId="1" applyFont="1" applyFill="1" applyAlignment="1"/>
    <xf numFmtId="43" fontId="4" fillId="11" borderId="0" xfId="1" applyFont="1" applyFill="1" applyAlignment="1">
      <alignment vertical="top" wrapText="1"/>
    </xf>
    <xf numFmtId="182" fontId="4" fillId="11" borderId="0" xfId="1" applyNumberFormat="1" applyFont="1" applyFill="1" applyAlignment="1">
      <alignment vertical="top" wrapText="1"/>
    </xf>
    <xf numFmtId="43" fontId="4" fillId="11" borderId="0" xfId="1" applyFont="1" applyFill="1" applyAlignment="1"/>
    <xf numFmtId="182" fontId="4" fillId="11" borderId="0" xfId="1" applyNumberFormat="1" applyFont="1" applyFill="1" applyAlignment="1"/>
    <xf numFmtId="179" fontId="45" fillId="3" borderId="0" xfId="1" applyNumberFormat="1" applyFont="1" applyFill="1" applyAlignment="1">
      <alignment vertical="top" wrapText="1"/>
    </xf>
    <xf numFmtId="179" fontId="4" fillId="3" borderId="0" xfId="1" applyNumberFormat="1" applyFont="1" applyFill="1" applyAlignment="1">
      <alignment vertical="top" wrapText="1"/>
    </xf>
    <xf numFmtId="179" fontId="4" fillId="3" borderId="0" xfId="1" applyNumberFormat="1" applyFont="1" applyFill="1" applyAlignment="1"/>
    <xf numFmtId="164" fontId="45" fillId="3" borderId="0" xfId="1" applyNumberFormat="1" applyFont="1" applyFill="1" applyAlignment="1">
      <alignment vertical="top" wrapText="1"/>
    </xf>
    <xf numFmtId="164" fontId="4" fillId="3" borderId="0" xfId="1" applyNumberFormat="1" applyFont="1" applyFill="1" applyAlignment="1">
      <alignment vertical="top" wrapText="1"/>
    </xf>
    <xf numFmtId="164" fontId="4" fillId="3" borderId="0" xfId="1" applyNumberFormat="1" applyFont="1" applyFill="1" applyAlignment="1"/>
    <xf numFmtId="9" fontId="4" fillId="0" borderId="0" xfId="3" applyFont="1"/>
    <xf numFmtId="9" fontId="4" fillId="3" borderId="0" xfId="3" applyFont="1" applyFill="1" applyAlignment="1">
      <alignment vertical="top" wrapText="1"/>
    </xf>
    <xf numFmtId="9" fontId="4" fillId="3" borderId="0" xfId="3" applyFont="1" applyFill="1" applyAlignment="1"/>
    <xf numFmtId="0" fontId="47" fillId="0" borderId="0" xfId="0" applyFont="1"/>
    <xf numFmtId="164" fontId="47" fillId="3" borderId="0" xfId="1" applyNumberFormat="1" applyFont="1" applyFill="1" applyAlignment="1">
      <alignment vertical="top" wrapText="1"/>
    </xf>
    <xf numFmtId="164" fontId="47" fillId="3" borderId="0" xfId="1" applyNumberFormat="1" applyFont="1" applyFill="1" applyAlignment="1"/>
    <xf numFmtId="179" fontId="4" fillId="0" borderId="0" xfId="1" applyNumberFormat="1" applyFont="1"/>
    <xf numFmtId="179" fontId="4" fillId="0" borderId="0" xfId="1" applyNumberFormat="1" applyFont="1" applyFill="1" applyAlignment="1">
      <alignment vertical="top" wrapText="1"/>
    </xf>
    <xf numFmtId="179" fontId="46" fillId="5" borderId="0" xfId="1" applyNumberFormat="1" applyFont="1" applyFill="1" applyAlignment="1"/>
    <xf numFmtId="179" fontId="4" fillId="5" borderId="0" xfId="1" applyNumberFormat="1" applyFont="1" applyFill="1" applyAlignment="1"/>
    <xf numFmtId="164" fontId="4" fillId="0" borderId="0" xfId="1" applyNumberFormat="1" applyFont="1"/>
    <xf numFmtId="164" fontId="4" fillId="0" borderId="0" xfId="1" applyNumberFormat="1" applyFont="1" applyFill="1" applyAlignment="1">
      <alignment vertical="top" wrapText="1"/>
    </xf>
    <xf numFmtId="179" fontId="4" fillId="3" borderId="0" xfId="1" applyNumberFormat="1" applyFont="1" applyFill="1"/>
    <xf numFmtId="179" fontId="46" fillId="3" borderId="0" xfId="1" applyNumberFormat="1" applyFont="1" applyFill="1" applyAlignment="1"/>
    <xf numFmtId="0" fontId="2" fillId="0" borderId="0" xfId="0" applyFont="1" applyAlignment="1">
      <alignment vertical="top" wrapText="1"/>
    </xf>
    <xf numFmtId="0" fontId="2" fillId="0" borderId="0" xfId="0" applyFont="1"/>
    <xf numFmtId="0" fontId="0" fillId="5" borderId="0" xfId="0" applyFont="1" applyFill="1"/>
    <xf numFmtId="164" fontId="0" fillId="0" borderId="0" xfId="0" applyNumberFormat="1"/>
    <xf numFmtId="0" fontId="48" fillId="0" borderId="0" xfId="0" applyFont="1" applyAlignment="1">
      <alignment vertical="top" wrapText="1"/>
    </xf>
    <xf numFmtId="0" fontId="48" fillId="3" borderId="0" xfId="0" applyFont="1" applyFill="1" applyAlignment="1">
      <alignment vertical="top" wrapText="1"/>
    </xf>
    <xf numFmtId="164" fontId="49" fillId="5" borderId="0" xfId="1" applyNumberFormat="1" applyFont="1" applyFill="1" applyAlignment="1">
      <alignment vertical="top" wrapText="1"/>
    </xf>
    <xf numFmtId="164" fontId="48" fillId="3" borderId="0" xfId="1" applyNumberFormat="1" applyFont="1" applyFill="1" applyAlignment="1">
      <alignment vertical="top" wrapText="1"/>
    </xf>
    <xf numFmtId="164" fontId="4" fillId="0" borderId="0" xfId="0" applyNumberFormat="1" applyFont="1"/>
    <xf numFmtId="0" fontId="50" fillId="0" borderId="0" xfId="0" applyFont="1" applyAlignment="1">
      <alignment horizontal="right"/>
    </xf>
    <xf numFmtId="0" fontId="50" fillId="3" borderId="0" xfId="0" applyFont="1" applyFill="1" applyAlignment="1">
      <alignment horizontal="right"/>
    </xf>
    <xf numFmtId="0" fontId="4" fillId="3" borderId="0" xfId="0" applyFont="1" applyFill="1"/>
    <xf numFmtId="164" fontId="40" fillId="5" borderId="0" xfId="1" applyNumberFormat="1" applyFont="1" applyFill="1" applyAlignment="1">
      <alignment horizontal="right"/>
    </xf>
    <xf numFmtId="164" fontId="50" fillId="3" borderId="0" xfId="1" applyNumberFormat="1" applyFont="1" applyFill="1" applyAlignment="1">
      <alignment horizontal="right"/>
    </xf>
    <xf numFmtId="0" fontId="51" fillId="0" borderId="0" xfId="0" applyFont="1"/>
    <xf numFmtId="0" fontId="51" fillId="0" borderId="0" xfId="0" applyFont="1" applyAlignment="1">
      <alignment wrapText="1"/>
    </xf>
    <xf numFmtId="164" fontId="51" fillId="0" borderId="0" xfId="1" applyNumberFormat="1" applyFont="1"/>
    <xf numFmtId="179" fontId="51" fillId="3" borderId="0" xfId="1" applyNumberFormat="1" applyFont="1" applyFill="1"/>
    <xf numFmtId="0" fontId="52" fillId="0" borderId="0" xfId="0" applyFont="1"/>
    <xf numFmtId="9" fontId="51" fillId="0" borderId="0" xfId="3" applyFont="1"/>
    <xf numFmtId="164" fontId="51" fillId="0" borderId="0" xfId="1" applyNumberFormat="1" applyFont="1" applyAlignment="1">
      <alignment wrapText="1"/>
    </xf>
    <xf numFmtId="179" fontId="4" fillId="0" borderId="0" xfId="0" applyNumberFormat="1" applyFont="1"/>
    <xf numFmtId="2" fontId="51" fillId="0" borderId="0" xfId="1" applyNumberFormat="1" applyFont="1" applyAlignment="1">
      <alignment horizontal="left" wrapText="1"/>
    </xf>
    <xf numFmtId="2" fontId="4" fillId="0" borderId="0" xfId="1" applyNumberFormat="1" applyFont="1" applyAlignment="1">
      <alignment horizontal="left"/>
    </xf>
    <xf numFmtId="2" fontId="0" fillId="0" borderId="0" xfId="1" applyNumberFormat="1" applyFont="1" applyAlignment="1">
      <alignment horizontal="left"/>
    </xf>
    <xf numFmtId="2" fontId="2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53" fillId="0" borderId="0" xfId="0" applyFont="1" applyAlignment="1">
      <alignment vertical="center"/>
    </xf>
    <xf numFmtId="0" fontId="15" fillId="0" borderId="0" xfId="0" applyFont="1" applyAlignment="1">
      <alignment wrapText="1"/>
    </xf>
    <xf numFmtId="3" fontId="0" fillId="0" borderId="0" xfId="0" applyNumberFormat="1"/>
    <xf numFmtId="177" fontId="4" fillId="0" borderId="0" xfId="0" applyNumberFormat="1" applyFont="1"/>
    <xf numFmtId="167" fontId="4" fillId="0" borderId="0" xfId="0" applyNumberFormat="1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4" fontId="4" fillId="0" borderId="0" xfId="1" applyNumberFormat="1" applyFont="1" applyAlignment="1">
      <alignment wrapText="1"/>
    </xf>
    <xf numFmtId="179" fontId="4" fillId="3" borderId="0" xfId="1" applyNumberFormat="1" applyFont="1" applyFill="1" applyAlignment="1">
      <alignment wrapText="1"/>
    </xf>
    <xf numFmtId="0" fontId="47" fillId="0" borderId="0" xfId="0" applyFont="1" applyAlignment="1">
      <alignment wrapText="1"/>
    </xf>
    <xf numFmtId="9" fontId="4" fillId="0" borderId="0" xfId="3" applyFont="1" applyAlignment="1">
      <alignment wrapText="1"/>
    </xf>
    <xf numFmtId="43" fontId="4" fillId="0" borderId="0" xfId="1" applyNumberFormat="1" applyFont="1"/>
    <xf numFmtId="0" fontId="8" fillId="12" borderId="0" xfId="0" applyNumberFormat="1" applyFont="1" applyFill="1" applyAlignment="1">
      <alignment horizontal="left" wrapText="1"/>
    </xf>
    <xf numFmtId="0" fontId="1" fillId="12" borderId="0" xfId="1" applyNumberFormat="1" applyFont="1" applyFill="1" applyAlignment="1"/>
    <xf numFmtId="170" fontId="18" fillId="12" borderId="0" xfId="3" applyNumberFormat="1" applyFont="1" applyFill="1" applyAlignment="1"/>
    <xf numFmtId="0" fontId="18" fillId="12" borderId="0" xfId="1" applyNumberFormat="1" applyFont="1" applyFill="1" applyAlignment="1"/>
    <xf numFmtId="164" fontId="7" fillId="12" borderId="1" xfId="1" applyNumberFormat="1" applyFont="1" applyFill="1" applyBorder="1" applyAlignment="1"/>
    <xf numFmtId="43" fontId="7" fillId="12" borderId="1" xfId="1" applyNumberFormat="1" applyFont="1" applyFill="1" applyBorder="1" applyAlignment="1"/>
    <xf numFmtId="164" fontId="7" fillId="12" borderId="0" xfId="1" applyNumberFormat="1" applyFont="1" applyFill="1" applyBorder="1" applyAlignment="1"/>
    <xf numFmtId="179" fontId="4" fillId="0" borderId="0" xfId="1" applyNumberFormat="1" applyFont="1" applyAlignment="1">
      <alignment wrapText="1"/>
    </xf>
    <xf numFmtId="179" fontId="48" fillId="0" borderId="0" xfId="0" applyNumberFormat="1" applyFont="1" applyAlignment="1">
      <alignment vertical="top" wrapText="1"/>
    </xf>
    <xf numFmtId="179" fontId="51" fillId="0" borderId="0" xfId="0" applyNumberFormat="1" applyFont="1" applyAlignment="1">
      <alignment wrapText="1"/>
    </xf>
    <xf numFmtId="0" fontId="9" fillId="0" borderId="0" xfId="0" applyFont="1" applyAlignment="1">
      <alignment vertical="top" wrapText="1"/>
    </xf>
    <xf numFmtId="4" fontId="9" fillId="0" borderId="0" xfId="1" applyNumberFormat="1" applyFont="1" applyFill="1" applyAlignment="1">
      <alignment horizontal="left" vertical="top" wrapText="1"/>
    </xf>
    <xf numFmtId="4" fontId="47" fillId="0" borderId="0" xfId="0" applyNumberFormat="1" applyFont="1" applyAlignment="1">
      <alignment horizontal="left" wrapText="1"/>
    </xf>
    <xf numFmtId="4" fontId="44" fillId="5" borderId="0" xfId="1" applyNumberFormat="1" applyFont="1" applyFill="1" applyAlignment="1">
      <alignment horizontal="left"/>
    </xf>
    <xf numFmtId="4" fontId="4" fillId="0" borderId="0" xfId="1" applyNumberFormat="1" applyFont="1" applyAlignment="1">
      <alignment horizontal="left"/>
    </xf>
    <xf numFmtId="4" fontId="0" fillId="5" borderId="0" xfId="1" applyNumberFormat="1" applyFont="1" applyFill="1" applyAlignment="1">
      <alignment horizontal="left"/>
    </xf>
    <xf numFmtId="0" fontId="8" fillId="0" borderId="0" xfId="0" applyFont="1" applyAlignment="1">
      <alignment horizontal="left" wrapText="1"/>
    </xf>
    <xf numFmtId="1" fontId="8" fillId="0" borderId="0" xfId="0" applyNumberFormat="1" applyFont="1" applyAlignment="1">
      <alignment horizontal="left" wrapText="1"/>
    </xf>
    <xf numFmtId="181" fontId="8" fillId="0" borderId="0" xfId="0" applyNumberFormat="1" applyFont="1" applyAlignment="1">
      <alignment horizontal="left" wrapText="1"/>
    </xf>
    <xf numFmtId="9" fontId="8" fillId="0" borderId="0" xfId="3" applyFont="1" applyAlignment="1">
      <alignment horizontal="left" wrapText="1"/>
    </xf>
    <xf numFmtId="172" fontId="8" fillId="0" borderId="0" xfId="3" applyNumberFormat="1" applyFont="1" applyAlignment="1">
      <alignment horizontal="left" wrapText="1"/>
    </xf>
    <xf numFmtId="2" fontId="7" fillId="0" borderId="0" xfId="0" applyNumberFormat="1" applyFont="1" applyAlignment="1">
      <alignment horizontal="left" wrapText="1"/>
    </xf>
    <xf numFmtId="167" fontId="7" fillId="0" borderId="0" xfId="0" applyNumberFormat="1" applyFont="1" applyAlignment="1">
      <alignment horizontal="left" wrapText="1"/>
    </xf>
    <xf numFmtId="177" fontId="7" fillId="0" borderId="0" xfId="1" applyNumberFormat="1" applyFont="1" applyAlignment="1">
      <alignment horizontal="left" wrapText="1"/>
    </xf>
    <xf numFmtId="177" fontId="7" fillId="0" borderId="0" xfId="0" applyNumberFormat="1" applyFont="1" applyAlignment="1">
      <alignment horizontal="left" wrapText="1"/>
    </xf>
    <xf numFmtId="167" fontId="7" fillId="0" borderId="0" xfId="1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33" fillId="0" borderId="0" xfId="0" applyFont="1" applyAlignment="1">
      <alignment horizontal="right" wrapText="1"/>
    </xf>
    <xf numFmtId="0" fontId="7" fillId="0" borderId="0" xfId="0" applyNumberFormat="1" applyFont="1" applyAlignment="1">
      <alignment horizontal="left"/>
    </xf>
    <xf numFmtId="172" fontId="7" fillId="0" borderId="0" xfId="3" applyNumberFormat="1" applyFont="1" applyAlignment="1">
      <alignment horizontal="left" wrapText="1"/>
    </xf>
    <xf numFmtId="9" fontId="7" fillId="0" borderId="0" xfId="3" applyFont="1" applyAlignment="1">
      <alignment horizontal="left" wrapText="1"/>
    </xf>
    <xf numFmtId="43" fontId="7" fillId="0" borderId="0" xfId="1" applyNumberFormat="1" applyFont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4F4FFF"/>
      <color rgb="FF88D288"/>
      <color rgb="FFA3FFA3"/>
      <color rgb="FF66FFFF"/>
      <color rgb="FF3FFF96"/>
      <color rgb="FF6DC86D"/>
      <color rgb="FF9797FF"/>
      <color rgb="FFE1E1FF"/>
      <color rgb="FFFFFFFF"/>
      <color rgb="FF005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25788522165278"/>
          <c:y val="0.13573463810850803"/>
          <c:w val="0.74663822857057482"/>
          <c:h val="0.51660477625482004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summary!$A$101</c:f>
              <c:strCache>
                <c:ptCount val="1"/>
                <c:pt idx="0">
                  <c:v> CO2+N2O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summary!$C$99:$K$99</c15:sqref>
                  </c15:fullRef>
                </c:ext>
              </c:extLst>
              <c:f>summary!$D$99:$K$99</c:f>
              <c:strCache>
                <c:ptCount val="8"/>
                <c:pt idx="0">
                  <c:v> Hydro </c:v>
                </c:pt>
                <c:pt idx="1">
                  <c:v> Coal </c:v>
                </c:pt>
                <c:pt idx="2">
                  <c:v> Gas </c:v>
                </c:pt>
                <c:pt idx="3">
                  <c:v> Coal+CCS </c:v>
                </c:pt>
                <c:pt idx="4">
                  <c:v> Gas+CCS </c:v>
                </c:pt>
                <c:pt idx="5">
                  <c:v> Nuclear </c:v>
                </c:pt>
                <c:pt idx="6">
                  <c:v> Solar </c:v>
                </c:pt>
                <c:pt idx="7">
                  <c:v> Wind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summary!$C$101:$K$101</c15:sqref>
                  </c15:fullRef>
                </c:ext>
              </c:extLst>
              <c:f>summary!$D$101:$K$101</c:f>
              <c:numCache>
                <c:formatCode>0.00</c:formatCode>
                <c:ptCount val="8"/>
                <c:pt idx="1">
                  <c:v>2.2327795031601436</c:v>
                </c:pt>
                <c:pt idx="2">
                  <c:v>0.93131144075390471</c:v>
                </c:pt>
                <c:pt idx="3">
                  <c:v>0.35367548724986941</c:v>
                </c:pt>
                <c:pt idx="4">
                  <c:v>0.11692040104869059</c:v>
                </c:pt>
                <c:pt idx="5">
                  <c:v>2.2045855379188711E-2</c:v>
                </c:pt>
                <c:pt idx="6">
                  <c:v>7.0000000000000007E-2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4-4B82-925D-639FAD4FC498}"/>
            </c:ext>
          </c:extLst>
        </c:ser>
        <c:ser>
          <c:idx val="4"/>
          <c:order val="1"/>
          <c:tx>
            <c:strRef>
              <c:f>summary!$A$102</c:f>
              <c:strCache>
                <c:ptCount val="1"/>
                <c:pt idx="0">
                  <c:v> CO2 upper estimate </c:v>
                </c:pt>
              </c:strCache>
            </c:strRef>
          </c:tx>
          <c:spPr>
            <a:pattFill prst="dkHorz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 w="0">
              <a:solidFill>
                <a:srgbClr val="FFC00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summary!$C$99:$K$99</c15:sqref>
                  </c15:fullRef>
                </c:ext>
              </c:extLst>
              <c:f>summary!$D$99:$K$99</c:f>
              <c:strCache>
                <c:ptCount val="8"/>
                <c:pt idx="0">
                  <c:v> Hydro </c:v>
                </c:pt>
                <c:pt idx="1">
                  <c:v> Coal </c:v>
                </c:pt>
                <c:pt idx="2">
                  <c:v> Gas </c:v>
                </c:pt>
                <c:pt idx="3">
                  <c:v> Coal+CCS </c:v>
                </c:pt>
                <c:pt idx="4">
                  <c:v> Gas+CCS </c:v>
                </c:pt>
                <c:pt idx="5">
                  <c:v> Nuclear </c:v>
                </c:pt>
                <c:pt idx="6">
                  <c:v> Solar </c:v>
                </c:pt>
                <c:pt idx="7">
                  <c:v> Wind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summary!$C$102:$K$102</c15:sqref>
                  </c15:fullRef>
                </c:ext>
              </c:extLst>
              <c:f>summary!$D$102:$K$102</c:f>
              <c:numCache>
                <c:formatCode>0.00</c:formatCode>
                <c:ptCount val="8"/>
                <c:pt idx="5">
                  <c:v>0.50705467372134039</c:v>
                </c:pt>
                <c:pt idx="6">
                  <c:v>0.2</c:v>
                </c:pt>
                <c:pt idx="7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34-4B82-925D-639FAD4FC498}"/>
            </c:ext>
          </c:extLst>
        </c:ser>
        <c:ser>
          <c:idx val="0"/>
          <c:order val="2"/>
          <c:tx>
            <c:strRef>
              <c:f>summary!$A$103</c:f>
              <c:strCache>
                <c:ptCount val="1"/>
                <c:pt idx="0">
                  <c:v> Methane, EPA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summary!$C$99:$K$99</c15:sqref>
                  </c15:fullRef>
                </c:ext>
              </c:extLst>
              <c:f>summary!$D$99:$K$99</c:f>
              <c:strCache>
                <c:ptCount val="8"/>
                <c:pt idx="0">
                  <c:v> Hydro </c:v>
                </c:pt>
                <c:pt idx="1">
                  <c:v> Coal </c:v>
                </c:pt>
                <c:pt idx="2">
                  <c:v> Gas </c:v>
                </c:pt>
                <c:pt idx="3">
                  <c:v> Coal+CCS </c:v>
                </c:pt>
                <c:pt idx="4">
                  <c:v> Gas+CCS </c:v>
                </c:pt>
                <c:pt idx="5">
                  <c:v> Nuclear </c:v>
                </c:pt>
                <c:pt idx="6">
                  <c:v> Solar </c:v>
                </c:pt>
                <c:pt idx="7">
                  <c:v> Wind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summary!$C$103:$K$103</c15:sqref>
                  </c15:fullRef>
                </c:ext>
              </c:extLst>
              <c:f>summary!$D$103:$K$103</c:f>
              <c:numCache>
                <c:formatCode>0.00</c:formatCode>
                <c:ptCount val="8"/>
                <c:pt idx="1">
                  <c:v>0.33586501159258314</c:v>
                </c:pt>
                <c:pt idx="2">
                  <c:v>0.28915472585508556</c:v>
                </c:pt>
                <c:pt idx="3">
                  <c:v>0.53201501293372466</c:v>
                </c:pt>
                <c:pt idx="4">
                  <c:v>0.36301590459076555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34-4B82-925D-639FAD4FC498}"/>
            </c:ext>
          </c:extLst>
        </c:ser>
        <c:ser>
          <c:idx val="1"/>
          <c:order val="3"/>
          <c:tx>
            <c:strRef>
              <c:f>summary!$A$104</c:f>
              <c:strCache>
                <c:ptCount val="1"/>
                <c:pt idx="0">
                  <c:v> Methane, EDF </c:v>
                </c:pt>
              </c:strCache>
            </c:strRef>
          </c:tx>
          <c:spPr>
            <a:pattFill prst="wdUpDiag">
              <a:fgClr>
                <a:srgbClr val="C00000"/>
              </a:fgClr>
              <a:bgClr>
                <a:schemeClr val="bg1"/>
              </a:bgClr>
            </a:patt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summary!$C$99:$K$99</c15:sqref>
                  </c15:fullRef>
                </c:ext>
              </c:extLst>
              <c:f>summary!$D$99:$K$99</c:f>
              <c:strCache>
                <c:ptCount val="8"/>
                <c:pt idx="0">
                  <c:v> Hydro </c:v>
                </c:pt>
                <c:pt idx="1">
                  <c:v> Coal </c:v>
                </c:pt>
                <c:pt idx="2">
                  <c:v> Gas </c:v>
                </c:pt>
                <c:pt idx="3">
                  <c:v> Coal+CCS </c:v>
                </c:pt>
                <c:pt idx="4">
                  <c:v> Gas+CCS </c:v>
                </c:pt>
                <c:pt idx="5">
                  <c:v> Nuclear </c:v>
                </c:pt>
                <c:pt idx="6">
                  <c:v> Solar </c:v>
                </c:pt>
                <c:pt idx="7">
                  <c:v> Wind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summary!$C$104:$K$104</c15:sqref>
                  </c15:fullRef>
                </c:ext>
              </c:extLst>
              <c:f>summary!$D$104:$K$104</c:f>
              <c:numCache>
                <c:formatCode>0.00</c:formatCode>
                <c:ptCount val="8"/>
                <c:pt idx="2">
                  <c:v>0.19655696027331904</c:v>
                </c:pt>
                <c:pt idx="4">
                  <c:v>0.24676512730761979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34-4B82-925D-639FAD4FC498}"/>
            </c:ext>
          </c:extLst>
        </c:ser>
        <c:ser>
          <c:idx val="6"/>
          <c:order val="4"/>
          <c:tx>
            <c:strRef>
              <c:f>summary!$A$105</c:f>
              <c:strCache>
                <c:ptCount val="1"/>
                <c:pt idx="0">
                  <c:v> Hydroelectricity estimates: 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summary!$C$99:$K$99</c15:sqref>
                  </c15:fullRef>
                </c:ext>
              </c:extLst>
              <c:f>summary!$D$99:$K$99</c:f>
              <c:strCache>
                <c:ptCount val="8"/>
                <c:pt idx="0">
                  <c:v> Hydro </c:v>
                </c:pt>
                <c:pt idx="1">
                  <c:v> Coal </c:v>
                </c:pt>
                <c:pt idx="2">
                  <c:v> Gas </c:v>
                </c:pt>
                <c:pt idx="3">
                  <c:v> Coal+CCS </c:v>
                </c:pt>
                <c:pt idx="4">
                  <c:v> Gas+CCS </c:v>
                </c:pt>
                <c:pt idx="5">
                  <c:v> Nuclear </c:v>
                </c:pt>
                <c:pt idx="6">
                  <c:v> Solar </c:v>
                </c:pt>
                <c:pt idx="7">
                  <c:v> Wind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summary!$C$105:$D$105</c15:sqref>
                  </c15:fullRef>
                </c:ext>
              </c:extLst>
              <c:f>summary!$D$105</c:f>
              <c:numCache>
                <c:formatCode>0.00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434-4B82-925D-639FAD4FC498}"/>
            </c:ext>
          </c:extLst>
        </c:ser>
        <c:ser>
          <c:idx val="5"/>
          <c:order val="5"/>
          <c:tx>
            <c:strRef>
              <c:f>summary!$A$106</c:f>
              <c:strCache>
                <c:ptCount val="1"/>
                <c:pt idx="0">
                  <c:v>      Scherer, USA average </c:v>
                </c:pt>
              </c:strCache>
            </c:strRef>
          </c:tx>
          <c:spPr>
            <a:solidFill>
              <a:schemeClr val="bg1"/>
            </a:solidFill>
            <a:ln w="38100">
              <a:solidFill>
                <a:srgbClr val="002060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summary!$C$99:$K$99</c15:sqref>
                  </c15:fullRef>
                </c:ext>
              </c:extLst>
              <c:f>summary!$D$99:$K$99</c:f>
              <c:strCache>
                <c:ptCount val="8"/>
                <c:pt idx="0">
                  <c:v> Hydro </c:v>
                </c:pt>
                <c:pt idx="1">
                  <c:v> Coal </c:v>
                </c:pt>
                <c:pt idx="2">
                  <c:v> Gas </c:v>
                </c:pt>
                <c:pt idx="3">
                  <c:v> Coal+CCS </c:v>
                </c:pt>
                <c:pt idx="4">
                  <c:v> Gas+CCS </c:v>
                </c:pt>
                <c:pt idx="5">
                  <c:v> Nuclear </c:v>
                </c:pt>
                <c:pt idx="6">
                  <c:v> Solar </c:v>
                </c:pt>
                <c:pt idx="7">
                  <c:v> Wind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summary!$C$106:$D$106</c15:sqref>
                  </c15:fullRef>
                </c:ext>
              </c:extLst>
              <c:f>summary!$D$106</c:f>
              <c:numCache>
                <c:formatCode>_(* #,##0.00_);_(* \(#,##0.00\);_(* "-"??_);_(@_)</c:formatCode>
                <c:ptCount val="1"/>
                <c:pt idx="0">
                  <c:v>0.60780825000000005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34-4B82-925D-639FAD4FC498}"/>
            </c:ext>
          </c:extLst>
        </c:ser>
        <c:ser>
          <c:idx val="7"/>
          <c:order val="7"/>
          <c:tx>
            <c:strRef>
              <c:f>summary!$A$110</c:f>
              <c:strCache>
                <c:ptCount val="1"/>
                <c:pt idx="0">
                  <c:v>      Horvath, woodland+shrubland  </c:v>
                </c:pt>
              </c:strCache>
            </c:strRef>
          </c:tx>
          <c:spPr>
            <a:pattFill prst="lgConfetti">
              <a:fgClr>
                <a:srgbClr val="88D288"/>
              </a:fgClr>
              <a:bgClr>
                <a:schemeClr val="bg1"/>
              </a:bgClr>
            </a:pattFill>
            <a:ln w="0">
              <a:solidFill>
                <a:srgbClr val="88D288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summary!$C$99:$K$99</c15:sqref>
                  </c15:fullRef>
                </c:ext>
              </c:extLst>
              <c:f>summary!$D$99:$K$99</c:f>
              <c:strCache>
                <c:ptCount val="8"/>
                <c:pt idx="0">
                  <c:v> Hydro </c:v>
                </c:pt>
                <c:pt idx="1">
                  <c:v> Coal </c:v>
                </c:pt>
                <c:pt idx="2">
                  <c:v> Gas </c:v>
                </c:pt>
                <c:pt idx="3">
                  <c:v> Coal+CCS </c:v>
                </c:pt>
                <c:pt idx="4">
                  <c:v> Gas+CCS </c:v>
                </c:pt>
                <c:pt idx="5">
                  <c:v> Nuclear </c:v>
                </c:pt>
                <c:pt idx="6">
                  <c:v> Solar </c:v>
                </c:pt>
                <c:pt idx="7">
                  <c:v> Wind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summary!$C$110:$D$110</c15:sqref>
                  </c15:fullRef>
                </c:ext>
              </c:extLst>
              <c:f>summary!$D$110</c:f>
              <c:numCache>
                <c:formatCode>0.00</c:formatCode>
                <c:ptCount val="1"/>
                <c:pt idx="0">
                  <c:v>0.20788839902998224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06-4EB6-95E0-396C5FDA52F4}"/>
            </c:ext>
          </c:extLst>
        </c:ser>
        <c:ser>
          <c:idx val="8"/>
          <c:order val="8"/>
          <c:tx>
            <c:strRef>
              <c:f>summary!$A$111</c:f>
              <c:strCache>
                <c:ptCount val="1"/>
                <c:pt idx="0">
                  <c:v>      Horvath, boreal forests </c:v>
                </c:pt>
              </c:strCache>
            </c:strRef>
          </c:tx>
          <c:spPr>
            <a:pattFill prst="solidDmnd">
              <a:fgClr>
                <a:srgbClr val="88D288"/>
              </a:fgClr>
              <a:bgClr>
                <a:schemeClr val="bg1"/>
              </a:bgClr>
            </a:pattFill>
            <a:ln w="0">
              <a:solidFill>
                <a:srgbClr val="88D288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summary!$C$99:$K$99</c15:sqref>
                  </c15:fullRef>
                </c:ext>
              </c:extLst>
              <c:f>summary!$D$99:$K$99</c:f>
              <c:strCache>
                <c:ptCount val="8"/>
                <c:pt idx="0">
                  <c:v> Hydro </c:v>
                </c:pt>
                <c:pt idx="1">
                  <c:v> Coal </c:v>
                </c:pt>
                <c:pt idx="2">
                  <c:v> Gas </c:v>
                </c:pt>
                <c:pt idx="3">
                  <c:v> Coal+CCS </c:v>
                </c:pt>
                <c:pt idx="4">
                  <c:v> Gas+CCS </c:v>
                </c:pt>
                <c:pt idx="5">
                  <c:v> Nuclear </c:v>
                </c:pt>
                <c:pt idx="6">
                  <c:v> Solar </c:v>
                </c:pt>
                <c:pt idx="7">
                  <c:v> Wind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summary!$C$111:$K$111</c15:sqref>
                  </c15:fullRef>
                </c:ext>
              </c:extLst>
              <c:f>summary!$D$111:$K$111</c:f>
              <c:numCache>
                <c:formatCode>0.00</c:formatCode>
                <c:ptCount val="8"/>
                <c:pt idx="0">
                  <c:v>2.041446208112875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34-4B82-925D-639FAD4FC498}"/>
            </c:ext>
          </c:extLst>
        </c:ser>
        <c:ser>
          <c:idx val="9"/>
          <c:order val="9"/>
          <c:tx>
            <c:strRef>
              <c:f>summary!$A$112</c:f>
              <c:strCache>
                <c:ptCount val="1"/>
                <c:pt idx="0">
                  <c:v>      Horvath, temperate forests </c:v>
                </c:pt>
              </c:strCache>
            </c:strRef>
          </c:tx>
          <c:spPr>
            <a:pattFill prst="shingle">
              <a:fgClr>
                <a:srgbClr val="88D288"/>
              </a:fgClr>
              <a:bgClr>
                <a:schemeClr val="bg1"/>
              </a:bgClr>
            </a:pattFill>
            <a:ln w="0">
              <a:solidFill>
                <a:srgbClr val="88D288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summary!$C$99:$K$99</c15:sqref>
                  </c15:fullRef>
                </c:ext>
              </c:extLst>
              <c:f>summary!$D$99:$K$99</c:f>
              <c:strCache>
                <c:ptCount val="8"/>
                <c:pt idx="0">
                  <c:v> Hydro </c:v>
                </c:pt>
                <c:pt idx="1">
                  <c:v> Coal </c:v>
                </c:pt>
                <c:pt idx="2">
                  <c:v> Gas </c:v>
                </c:pt>
                <c:pt idx="3">
                  <c:v> Coal+CCS </c:v>
                </c:pt>
                <c:pt idx="4">
                  <c:v> Gas+CCS </c:v>
                </c:pt>
                <c:pt idx="5">
                  <c:v> Nuclear </c:v>
                </c:pt>
                <c:pt idx="6">
                  <c:v> Solar </c:v>
                </c:pt>
                <c:pt idx="7">
                  <c:v> Wind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summary!$C$112:$K$112</c15:sqref>
                  </c15:fullRef>
                </c:ext>
              </c:extLst>
              <c:f>summary!$D$112:$K$112</c:f>
              <c:numCache>
                <c:formatCode>0.00</c:formatCode>
                <c:ptCount val="8"/>
                <c:pt idx="0">
                  <c:v>1.668871252204585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34-4B82-925D-639FAD4F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100"/>
        <c:axId val="317560320"/>
        <c:axId val="166069376"/>
        <c:extLst>
          <c:ext xmlns:c15="http://schemas.microsoft.com/office/drawing/2012/chart" uri="{02D57815-91ED-43cb-92C2-25804820EDAC}">
            <c15:filteredBarSeries>
              <c15:ser>
                <c:idx val="3"/>
                <c:order val="6"/>
                <c:tx>
                  <c:strRef>
                    <c:extLst>
                      <c:ext uri="{02D57815-91ED-43cb-92C2-25804820EDAC}">
                        <c15:formulaRef>
                          <c15:sqref>summary!$A$107</c15:sqref>
                        </c15:formulaRef>
                      </c:ext>
                    </c:extLst>
                    <c:strCache>
                      <c:ptCount val="1"/>
                      <c:pt idx="0">
                        <c:v>      NID+Deemer </c:v>
                      </c:pt>
                    </c:strCache>
                  </c:strRef>
                </c:tx>
                <c:spPr>
                  <a:pattFill prst="lgConfetti">
                    <a:fgClr>
                      <a:srgbClr val="00B0F0"/>
                    </a:fgClr>
                    <a:bgClr>
                      <a:schemeClr val="bg1"/>
                    </a:bgClr>
                  </a:pattFill>
                  <a:ln w="0">
                    <a:solidFill>
                      <a:srgbClr val="00B0F0"/>
                    </a:solidFill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summary!$C$99:$K$99</c15:sqref>
                        </c15:fullRef>
                        <c15:formulaRef>
                          <c15:sqref>summary!$D$99:$K$99</c15:sqref>
                        </c15:formulaRef>
                      </c:ext>
                    </c:extLst>
                    <c:strCache>
                      <c:ptCount val="8"/>
                      <c:pt idx="0">
                        <c:v> Hydro </c:v>
                      </c:pt>
                      <c:pt idx="1">
                        <c:v> Coal </c:v>
                      </c:pt>
                      <c:pt idx="2">
                        <c:v> Gas </c:v>
                      </c:pt>
                      <c:pt idx="3">
                        <c:v> Coal+CCS </c:v>
                      </c:pt>
                      <c:pt idx="4">
                        <c:v> Gas+CCS </c:v>
                      </c:pt>
                      <c:pt idx="5">
                        <c:v> Nuclear </c:v>
                      </c:pt>
                      <c:pt idx="6">
                        <c:v> Solar </c:v>
                      </c:pt>
                      <c:pt idx="7">
                        <c:v> Wind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summary!$C$107:$K$107</c15:sqref>
                        </c15:fullRef>
                        <c15:formulaRef>
                          <c15:sqref>summary!$D$107:$K$107</c15:sqref>
                        </c15:formulaRef>
                      </c:ext>
                    </c:extLst>
                    <c:numCache>
                      <c:formatCode>0.00</c:formatCode>
                      <c:ptCount val="8"/>
                      <c:pt idx="1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434-4B82-925D-639FAD4FC49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summary!$A$113</c15:sqref>
                        </c15:formulaRef>
                      </c:ext>
                    </c:extLst>
                    <c:strCache>
                      <c:ptCount val="1"/>
                      <c:pt idx="0">
                        <c:v>Glen Canyon Dam, AZ, Lake Powell</c:v>
                      </c:pt>
                    </c:strCache>
                  </c:strRef>
                </c:tx>
                <c:spPr>
                  <a:solidFill>
                    <a:srgbClr val="00B0F0"/>
                  </a:solidFill>
                  <a:ln w="38100" cmpd="sng">
                    <a:solidFill>
                      <a:srgbClr val="00B0F0"/>
                    </a:solidFill>
                  </a:ln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summary!$C$99:$K$99</c15:sqref>
                        </c15:fullRef>
                        <c15:formulaRef>
                          <c15:sqref>summary!$D$99:$K$99</c15:sqref>
                        </c15:formulaRef>
                      </c:ext>
                    </c:extLst>
                    <c:strCache>
                      <c:ptCount val="8"/>
                      <c:pt idx="0">
                        <c:v> Hydro </c:v>
                      </c:pt>
                      <c:pt idx="1">
                        <c:v> Coal </c:v>
                      </c:pt>
                      <c:pt idx="2">
                        <c:v> Gas </c:v>
                      </c:pt>
                      <c:pt idx="3">
                        <c:v> Coal+CCS </c:v>
                      </c:pt>
                      <c:pt idx="4">
                        <c:v> Gas+CCS </c:v>
                      </c:pt>
                      <c:pt idx="5">
                        <c:v> Nuclear </c:v>
                      </c:pt>
                      <c:pt idx="6">
                        <c:v> Solar </c:v>
                      </c:pt>
                      <c:pt idx="7">
                        <c:v> Wind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summary!$C$113:$E$113</c15:sqref>
                        </c15:fullRef>
                        <c15:formulaRef>
                          <c15:sqref>summary!$D$113:$E$113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160-49C9-BDE0-53B7CD4222B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summary!$A$114</c15:sqref>
                        </c15:formulaRef>
                      </c:ext>
                    </c:extLst>
                    <c:strCache>
                      <c:ptCount val="1"/>
                      <c:pt idx="0">
                        <c:v>Kentucky Dam, KY (TVA)</c:v>
                      </c:pt>
                    </c:strCache>
                  </c:strRef>
                </c:tx>
                <c:spPr>
                  <a:noFill/>
                  <a:ln w="38100" cmpd="tri">
                    <a:solidFill>
                      <a:srgbClr val="00B0F0"/>
                    </a:solidFill>
                  </a:ln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summary!$C$99:$K$99</c15:sqref>
                        </c15:fullRef>
                        <c15:formulaRef>
                          <c15:sqref>summary!$D$99:$K$99</c15:sqref>
                        </c15:formulaRef>
                      </c:ext>
                    </c:extLst>
                    <c:strCache>
                      <c:ptCount val="8"/>
                      <c:pt idx="0">
                        <c:v> Hydro </c:v>
                      </c:pt>
                      <c:pt idx="1">
                        <c:v> Coal </c:v>
                      </c:pt>
                      <c:pt idx="2">
                        <c:v> Gas </c:v>
                      </c:pt>
                      <c:pt idx="3">
                        <c:v> Coal+CCS </c:v>
                      </c:pt>
                      <c:pt idx="4">
                        <c:v> Gas+CCS </c:v>
                      </c:pt>
                      <c:pt idx="5">
                        <c:v> Nuclear </c:v>
                      </c:pt>
                      <c:pt idx="6">
                        <c:v> Solar </c:v>
                      </c:pt>
                      <c:pt idx="7">
                        <c:v> Wind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summary!$C$114:$E$114</c15:sqref>
                        </c15:fullRef>
                        <c15:formulaRef>
                          <c15:sqref>summary!$D$114:$E$114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60-49C9-BDE0-53B7CD4222B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summary!$A$115</c15:sqref>
                        </c15:formulaRef>
                      </c:ext>
                    </c:extLst>
                    <c:strCache>
                      <c:ptCount val="1"/>
                      <c:pt idx="0">
                        <c:v>Oahe Dam, SD, Missouri River</c:v>
                      </c:pt>
                    </c:strCache>
                  </c:strRef>
                </c:tx>
                <c:spPr>
                  <a:solidFill>
                    <a:schemeClr val="bg1"/>
                  </a:solidFill>
                  <a:ln w="38100" cmpd="dbl">
                    <a:solidFill>
                      <a:srgbClr val="00B0F0"/>
                    </a:solidFill>
                  </a:ln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summary!$C$99:$K$99</c15:sqref>
                        </c15:fullRef>
                        <c15:formulaRef>
                          <c15:sqref>summary!$D$99:$K$99</c15:sqref>
                        </c15:formulaRef>
                      </c:ext>
                    </c:extLst>
                    <c:strCache>
                      <c:ptCount val="8"/>
                      <c:pt idx="0">
                        <c:v> Hydro </c:v>
                      </c:pt>
                      <c:pt idx="1">
                        <c:v> Coal </c:v>
                      </c:pt>
                      <c:pt idx="2">
                        <c:v> Gas </c:v>
                      </c:pt>
                      <c:pt idx="3">
                        <c:v> Coal+CCS </c:v>
                      </c:pt>
                      <c:pt idx="4">
                        <c:v> Gas+CCS </c:v>
                      </c:pt>
                      <c:pt idx="5">
                        <c:v> Nuclear </c:v>
                      </c:pt>
                      <c:pt idx="6">
                        <c:v> Solar </c:v>
                      </c:pt>
                      <c:pt idx="7">
                        <c:v> Wind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summary!$C$115:$E$115</c15:sqref>
                        </c15:fullRef>
                        <c15:formulaRef>
                          <c15:sqref>summary!$D$115:$E$115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60-49C9-BDE0-53B7CD4222B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summary!$A$116</c15:sqref>
                        </c15:formulaRef>
                      </c:ext>
                    </c:extLst>
                    <c:strCache>
                      <c:ptCount val="1"/>
                      <c:pt idx="0">
                        <c:v>Hoover Dam, NV, Lake Mead</c:v>
                      </c:pt>
                    </c:strCache>
                  </c:strRef>
                </c:tx>
                <c:spPr>
                  <a:noFill/>
                  <a:ln w="34925">
                    <a:solidFill>
                      <a:srgbClr val="00B0F0"/>
                    </a:solidFill>
                  </a:ln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summary!$C$99:$K$99</c15:sqref>
                        </c15:fullRef>
                        <c15:formulaRef>
                          <c15:sqref>summary!$D$99:$K$99</c15:sqref>
                        </c15:formulaRef>
                      </c:ext>
                    </c:extLst>
                    <c:strCache>
                      <c:ptCount val="8"/>
                      <c:pt idx="0">
                        <c:v> Hydro </c:v>
                      </c:pt>
                      <c:pt idx="1">
                        <c:v> Coal </c:v>
                      </c:pt>
                      <c:pt idx="2">
                        <c:v> Gas </c:v>
                      </c:pt>
                      <c:pt idx="3">
                        <c:v> Coal+CCS </c:v>
                      </c:pt>
                      <c:pt idx="4">
                        <c:v> Gas+CCS </c:v>
                      </c:pt>
                      <c:pt idx="5">
                        <c:v> Nuclear </c:v>
                      </c:pt>
                      <c:pt idx="6">
                        <c:v> Solar </c:v>
                      </c:pt>
                      <c:pt idx="7">
                        <c:v> Wind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summary!$C$116:$E$116</c15:sqref>
                        </c15:fullRef>
                        <c15:formulaRef>
                          <c15:sqref>summary!$D$116:$E$116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60-49C9-BDE0-53B7CD4222B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summary!$A$117</c15:sqref>
                        </c15:formulaRef>
                      </c:ext>
                    </c:extLst>
                    <c:strCache>
                      <c:ptCount val="1"/>
                      <c:pt idx="0">
                        <c:v>Fort Peck Dam, MT, Missouri River</c:v>
                      </c:pt>
                    </c:strCache>
                  </c:strRef>
                </c:tx>
                <c:spPr>
                  <a:solidFill>
                    <a:schemeClr val="bg1"/>
                  </a:solidFill>
                  <a:ln w="22225">
                    <a:solidFill>
                      <a:srgbClr val="00B0F0"/>
                    </a:solidFill>
                  </a:ln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summary!$C$99:$K$99</c15:sqref>
                        </c15:fullRef>
                        <c15:formulaRef>
                          <c15:sqref>summary!$D$99:$K$99</c15:sqref>
                        </c15:formulaRef>
                      </c:ext>
                    </c:extLst>
                    <c:strCache>
                      <c:ptCount val="8"/>
                      <c:pt idx="0">
                        <c:v> Hydro </c:v>
                      </c:pt>
                      <c:pt idx="1">
                        <c:v> Coal </c:v>
                      </c:pt>
                      <c:pt idx="2">
                        <c:v> Gas </c:v>
                      </c:pt>
                      <c:pt idx="3">
                        <c:v> Coal+CCS </c:v>
                      </c:pt>
                      <c:pt idx="4">
                        <c:v> Gas+CCS </c:v>
                      </c:pt>
                      <c:pt idx="5">
                        <c:v> Nuclear </c:v>
                      </c:pt>
                      <c:pt idx="6">
                        <c:v> Solar </c:v>
                      </c:pt>
                      <c:pt idx="7">
                        <c:v> Wind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summary!$C$117:$E$117</c15:sqref>
                        </c15:fullRef>
                        <c15:formulaRef>
                          <c15:sqref>summary!$D$117:$E$117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60-49C9-BDE0-53B7CD4222B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summary!$A$118</c15:sqref>
                        </c15:formulaRef>
                      </c:ext>
                    </c:extLst>
                    <c:strCache>
                      <c:ptCount val="1"/>
                      <c:pt idx="0">
                        <c:v>Sam Rayburn Dam, TX, 16 lb/kWh</c:v>
                      </c:pt>
                    </c:strCache>
                  </c:strRef>
                </c:tx>
                <c:spPr>
                  <a:solidFill>
                    <a:schemeClr val="bg1"/>
                  </a:solidFill>
                  <a:ln w="0">
                    <a:solidFill>
                      <a:srgbClr val="00B0F0"/>
                    </a:solidFill>
                  </a:ln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summary!$C$99:$K$99</c15:sqref>
                        </c15:fullRef>
                        <c15:formulaRef>
                          <c15:sqref>summary!$D$99:$K$99</c15:sqref>
                        </c15:formulaRef>
                      </c:ext>
                    </c:extLst>
                    <c:strCache>
                      <c:ptCount val="8"/>
                      <c:pt idx="0">
                        <c:v> Hydro </c:v>
                      </c:pt>
                      <c:pt idx="1">
                        <c:v> Coal </c:v>
                      </c:pt>
                      <c:pt idx="2">
                        <c:v> Gas </c:v>
                      </c:pt>
                      <c:pt idx="3">
                        <c:v> Coal+CCS </c:v>
                      </c:pt>
                      <c:pt idx="4">
                        <c:v> Gas+CCS </c:v>
                      </c:pt>
                      <c:pt idx="5">
                        <c:v> Nuclear </c:v>
                      </c:pt>
                      <c:pt idx="6">
                        <c:v> Solar </c:v>
                      </c:pt>
                      <c:pt idx="7">
                        <c:v> Wind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summary!$C$118:$E$118</c15:sqref>
                        </c15:fullRef>
                        <c15:formulaRef>
                          <c15:sqref>summary!$D$118:$E$118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160-49C9-BDE0-53B7CD4222B2}"/>
                  </c:ext>
                </c:extLst>
              </c15:ser>
            </c15:filteredBarSeries>
          </c:ext>
        </c:extLst>
      </c:barChart>
      <c:catAx>
        <c:axId val="31756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en-US"/>
          </a:p>
        </c:txPr>
        <c:crossAx val="166069376"/>
        <c:crosses val="autoZero"/>
        <c:auto val="1"/>
        <c:lblAlgn val="ctr"/>
        <c:lblOffset val="100"/>
        <c:noMultiLvlLbl val="0"/>
      </c:catAx>
      <c:valAx>
        <c:axId val="166069376"/>
        <c:scaling>
          <c:orientation val="minMax"/>
          <c:max val="4.55"/>
          <c:min val="0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 i="0" baseline="0">
                <a:latin typeface="Arial" panose="020B0604020202020204" pitchFamily="34" charset="0"/>
              </a:defRPr>
            </a:pPr>
            <a:endParaRPr lang="en-US"/>
          </a:p>
        </c:txPr>
        <c:crossAx val="317560320"/>
        <c:crosses val="autoZero"/>
        <c:crossBetween val="between"/>
        <c:majorUnit val="1.1000000000000001"/>
      </c:valAx>
    </c:plotArea>
    <c:legend>
      <c:legendPos val="r"/>
      <c:legendEntry>
        <c:idx val="4"/>
        <c:txPr>
          <a:bodyPr/>
          <a:lstStyle/>
          <a:p>
            <a:pPr>
              <a:defRPr sz="1200" b="0" i="1" baseline="0">
                <a:solidFill>
                  <a:srgbClr val="002060"/>
                </a:solidFill>
              </a:defRPr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1200" b="1" i="0" baseline="0">
                <a:solidFill>
                  <a:srgbClr val="002060"/>
                </a:solidFill>
              </a:defRPr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1200" b="1" i="0" baseline="0">
                <a:solidFill>
                  <a:srgbClr val="002060"/>
                </a:solidFill>
              </a:defRPr>
            </a:pPr>
            <a:endParaRPr lang="en-US"/>
          </a:p>
        </c:txPr>
      </c:legendEntry>
      <c:legendEntry>
        <c:idx val="7"/>
        <c:txPr>
          <a:bodyPr/>
          <a:lstStyle/>
          <a:p>
            <a:pPr>
              <a:defRPr sz="1200" b="1" i="0" baseline="0">
                <a:solidFill>
                  <a:srgbClr val="002060"/>
                </a:solidFill>
              </a:defRPr>
            </a:pPr>
            <a:endParaRPr lang="en-US"/>
          </a:p>
        </c:txPr>
      </c:legendEntry>
      <c:legendEntry>
        <c:idx val="8"/>
        <c:txPr>
          <a:bodyPr/>
          <a:lstStyle/>
          <a:p>
            <a:pPr>
              <a:defRPr sz="1200" b="1" i="0" baseline="0">
                <a:solidFill>
                  <a:srgbClr val="002060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0.38503817269191715"/>
          <c:y val="0.12175861246184352"/>
          <c:w val="0.6149618273080828"/>
          <c:h val="0.3286071137659517"/>
        </c:manualLayout>
      </c:layout>
      <c:overlay val="0"/>
      <c:spPr>
        <a:solidFill>
          <a:schemeClr val="bg1"/>
        </a:solidFill>
        <a:ln w="0">
          <a:solidFill>
            <a:schemeClr val="tx1"/>
          </a:solidFill>
        </a:ln>
      </c:spPr>
      <c:txPr>
        <a:bodyPr/>
        <a:lstStyle/>
        <a:p>
          <a:pPr>
            <a:defRPr sz="1200" b="1" i="0" baseline="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1025788522165278"/>
          <c:y val="0.13573463810850803"/>
          <c:w val="0.74663822857057482"/>
          <c:h val="0.55623489600127596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summary!$A$101</c:f>
              <c:strCache>
                <c:ptCount val="1"/>
                <c:pt idx="0">
                  <c:v> CO2+N2O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summary!$C$99:$K$99</c:f>
              <c:strCache>
                <c:ptCount val="9"/>
                <c:pt idx="0">
                  <c:v> 6 Dams </c:v>
                </c:pt>
                <c:pt idx="1">
                  <c:v> Hydro </c:v>
                </c:pt>
                <c:pt idx="2">
                  <c:v> Coal </c:v>
                </c:pt>
                <c:pt idx="3">
                  <c:v> Gas </c:v>
                </c:pt>
                <c:pt idx="4">
                  <c:v> Coal+CCS </c:v>
                </c:pt>
                <c:pt idx="5">
                  <c:v> Gas+CCS </c:v>
                </c:pt>
                <c:pt idx="6">
                  <c:v> Nuclear </c:v>
                </c:pt>
                <c:pt idx="7">
                  <c:v> Solar </c:v>
                </c:pt>
                <c:pt idx="8">
                  <c:v> Wind </c:v>
                </c:pt>
              </c:strCache>
            </c:strRef>
          </c:cat>
          <c:val>
            <c:numRef>
              <c:f>summary!$C$101:$K$101</c:f>
              <c:numCache>
                <c:formatCode>0.00</c:formatCode>
                <c:ptCount val="9"/>
                <c:pt idx="2">
                  <c:v>2.2327795031601436</c:v>
                </c:pt>
                <c:pt idx="3">
                  <c:v>0.93131144075390471</c:v>
                </c:pt>
                <c:pt idx="4">
                  <c:v>0.35367548724986941</c:v>
                </c:pt>
                <c:pt idx="5">
                  <c:v>0.11692040104869059</c:v>
                </c:pt>
                <c:pt idx="6">
                  <c:v>2.2045855379188711E-2</c:v>
                </c:pt>
                <c:pt idx="7">
                  <c:v>7.0000000000000007E-2</c:v>
                </c:pt>
                <c:pt idx="8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3-43C4-867E-E9B8461990D1}"/>
            </c:ext>
          </c:extLst>
        </c:ser>
        <c:ser>
          <c:idx val="4"/>
          <c:order val="1"/>
          <c:tx>
            <c:strRef>
              <c:f>summary!$A$102</c:f>
              <c:strCache>
                <c:ptCount val="1"/>
                <c:pt idx="0">
                  <c:v> CO2 upper estimate </c:v>
                </c:pt>
              </c:strCache>
            </c:strRef>
          </c:tx>
          <c:spPr>
            <a:pattFill prst="dkHorz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 w="0">
              <a:solidFill>
                <a:srgbClr val="FFC000"/>
              </a:solidFill>
            </a:ln>
          </c:spPr>
          <c:invertIfNegative val="0"/>
          <c:val>
            <c:numRef>
              <c:f>summary!$C$102:$K$102</c:f>
              <c:numCache>
                <c:formatCode>0.00</c:formatCode>
                <c:ptCount val="9"/>
                <c:pt idx="6">
                  <c:v>0.50705467372134039</c:v>
                </c:pt>
                <c:pt idx="7">
                  <c:v>0.2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3-43C4-867E-E9B8461990D1}"/>
            </c:ext>
          </c:extLst>
        </c:ser>
        <c:ser>
          <c:idx val="0"/>
          <c:order val="2"/>
          <c:tx>
            <c:strRef>
              <c:f>summary!$A$103</c:f>
              <c:strCache>
                <c:ptCount val="1"/>
                <c:pt idx="0">
                  <c:v> Methane, EPA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summary!$C$99:$K$99</c:f>
              <c:strCache>
                <c:ptCount val="9"/>
                <c:pt idx="0">
                  <c:v> 6 Dams </c:v>
                </c:pt>
                <c:pt idx="1">
                  <c:v> Hydro </c:v>
                </c:pt>
                <c:pt idx="2">
                  <c:v> Coal </c:v>
                </c:pt>
                <c:pt idx="3">
                  <c:v> Gas </c:v>
                </c:pt>
                <c:pt idx="4">
                  <c:v> Coal+CCS </c:v>
                </c:pt>
                <c:pt idx="5">
                  <c:v> Gas+CCS </c:v>
                </c:pt>
                <c:pt idx="6">
                  <c:v> Nuclear </c:v>
                </c:pt>
                <c:pt idx="7">
                  <c:v> Solar </c:v>
                </c:pt>
                <c:pt idx="8">
                  <c:v> Wind </c:v>
                </c:pt>
              </c:strCache>
            </c:strRef>
          </c:cat>
          <c:val>
            <c:numRef>
              <c:f>summary!$C$103:$K$103</c:f>
              <c:numCache>
                <c:formatCode>0.00</c:formatCode>
                <c:ptCount val="9"/>
                <c:pt idx="2">
                  <c:v>0.33586501159258314</c:v>
                </c:pt>
                <c:pt idx="3">
                  <c:v>0.28915472585508556</c:v>
                </c:pt>
                <c:pt idx="4">
                  <c:v>0.53201501293372466</c:v>
                </c:pt>
                <c:pt idx="5">
                  <c:v>0.36301590459076555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3-43C4-867E-E9B8461990D1}"/>
            </c:ext>
          </c:extLst>
        </c:ser>
        <c:ser>
          <c:idx val="1"/>
          <c:order val="3"/>
          <c:tx>
            <c:strRef>
              <c:f>summary!$A$104</c:f>
              <c:strCache>
                <c:ptCount val="1"/>
                <c:pt idx="0">
                  <c:v> Methane, EDF </c:v>
                </c:pt>
              </c:strCache>
            </c:strRef>
          </c:tx>
          <c:spPr>
            <a:pattFill prst="wdUpDiag">
              <a:fgClr>
                <a:srgbClr val="C00000"/>
              </a:fgClr>
              <a:bgClr>
                <a:schemeClr val="bg1"/>
              </a:bgClr>
            </a:pattFill>
          </c:spPr>
          <c:invertIfNegative val="0"/>
          <c:cat>
            <c:strRef>
              <c:f>summary!$C$99:$K$99</c:f>
              <c:strCache>
                <c:ptCount val="9"/>
                <c:pt idx="0">
                  <c:v> 6 Dams </c:v>
                </c:pt>
                <c:pt idx="1">
                  <c:v> Hydro </c:v>
                </c:pt>
                <c:pt idx="2">
                  <c:v> Coal </c:v>
                </c:pt>
                <c:pt idx="3">
                  <c:v> Gas </c:v>
                </c:pt>
                <c:pt idx="4">
                  <c:v> Coal+CCS </c:v>
                </c:pt>
                <c:pt idx="5">
                  <c:v> Gas+CCS </c:v>
                </c:pt>
                <c:pt idx="6">
                  <c:v> Nuclear </c:v>
                </c:pt>
                <c:pt idx="7">
                  <c:v> Solar </c:v>
                </c:pt>
                <c:pt idx="8">
                  <c:v> Wind </c:v>
                </c:pt>
              </c:strCache>
            </c:strRef>
          </c:cat>
          <c:val>
            <c:numRef>
              <c:f>summary!$C$104:$K$104</c:f>
              <c:numCache>
                <c:formatCode>0.00</c:formatCode>
                <c:ptCount val="9"/>
                <c:pt idx="3">
                  <c:v>0.19655696027331904</c:v>
                </c:pt>
                <c:pt idx="5">
                  <c:v>0.24676512730761979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43-43C4-867E-E9B8461990D1}"/>
            </c:ext>
          </c:extLst>
        </c:ser>
        <c:ser>
          <c:idx val="6"/>
          <c:order val="4"/>
          <c:tx>
            <c:strRef>
              <c:f>summary!$A$105</c:f>
              <c:strCache>
                <c:ptCount val="1"/>
                <c:pt idx="0">
                  <c:v> Hydroelectricity estimates: 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val>
            <c:numRef>
              <c:f>summary!$D$105</c:f>
              <c:numCache>
                <c:formatCode>0.00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E843-43C4-867E-E9B8461990D1}"/>
            </c:ext>
          </c:extLst>
        </c:ser>
        <c:ser>
          <c:idx val="5"/>
          <c:order val="5"/>
          <c:tx>
            <c:strRef>
              <c:f>summary!$A$106</c:f>
              <c:strCache>
                <c:ptCount val="1"/>
                <c:pt idx="0">
                  <c:v>      Scherer, USA average </c:v>
                </c:pt>
              </c:strCache>
            </c:strRef>
          </c:tx>
          <c:spPr>
            <a:solidFill>
              <a:schemeClr val="bg1"/>
            </a:solidFill>
            <a:ln w="38100">
              <a:solidFill>
                <a:srgbClr val="002060"/>
              </a:solidFill>
            </a:ln>
          </c:spPr>
          <c:invertIfNegative val="0"/>
          <c:val>
            <c:numRef>
              <c:f>summary!$C$106:$D$106</c:f>
              <c:numCache>
                <c:formatCode>_(* #,##0.00_);_(* \(#,##0.00\);_(* "-"??_);_(@_)</c:formatCode>
                <c:ptCount val="2"/>
                <c:pt idx="1">
                  <c:v>0.60780825000000005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43-43C4-867E-E9B8461990D1}"/>
            </c:ext>
          </c:extLst>
        </c:ser>
        <c:ser>
          <c:idx val="7"/>
          <c:order val="7"/>
          <c:tx>
            <c:strRef>
              <c:f>summary!$A$110</c:f>
              <c:strCache>
                <c:ptCount val="1"/>
                <c:pt idx="0">
                  <c:v>      Horvath, woodland+shrubland  </c:v>
                </c:pt>
              </c:strCache>
            </c:strRef>
          </c:tx>
          <c:spPr>
            <a:pattFill prst="lgConfetti">
              <a:fgClr>
                <a:srgbClr val="88D288"/>
              </a:fgClr>
              <a:bgClr>
                <a:schemeClr val="bg1"/>
              </a:bgClr>
            </a:pattFill>
            <a:ln w="0">
              <a:solidFill>
                <a:srgbClr val="88D288"/>
              </a:solidFill>
            </a:ln>
          </c:spPr>
          <c:invertIfNegative val="0"/>
          <c:val>
            <c:numRef>
              <c:f>summary!$C$110:$D$110</c:f>
              <c:numCache>
                <c:formatCode>0.00</c:formatCode>
                <c:ptCount val="2"/>
                <c:pt idx="1">
                  <c:v>0.20788839902998224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43-43C4-867E-E9B8461990D1}"/>
            </c:ext>
          </c:extLst>
        </c:ser>
        <c:ser>
          <c:idx val="8"/>
          <c:order val="8"/>
          <c:tx>
            <c:strRef>
              <c:f>summary!$A$111</c:f>
              <c:strCache>
                <c:ptCount val="1"/>
                <c:pt idx="0">
                  <c:v>      Horvath, boreal forests </c:v>
                </c:pt>
              </c:strCache>
            </c:strRef>
          </c:tx>
          <c:spPr>
            <a:pattFill prst="solidDmnd">
              <a:fgClr>
                <a:srgbClr val="88D288"/>
              </a:fgClr>
              <a:bgClr>
                <a:schemeClr val="bg1"/>
              </a:bgClr>
            </a:pattFill>
            <a:ln w="0">
              <a:solidFill>
                <a:srgbClr val="88D288"/>
              </a:solidFill>
            </a:ln>
          </c:spPr>
          <c:invertIfNegative val="0"/>
          <c:val>
            <c:numRef>
              <c:f>summary!$C$111:$K$111</c:f>
              <c:numCache>
                <c:formatCode>0.00</c:formatCode>
                <c:ptCount val="9"/>
                <c:pt idx="1">
                  <c:v>2.041446208112875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43-43C4-867E-E9B8461990D1}"/>
            </c:ext>
          </c:extLst>
        </c:ser>
        <c:ser>
          <c:idx val="9"/>
          <c:order val="9"/>
          <c:tx>
            <c:strRef>
              <c:f>summary!$A$112</c:f>
              <c:strCache>
                <c:ptCount val="1"/>
                <c:pt idx="0">
                  <c:v>      Horvath, temperate forests </c:v>
                </c:pt>
              </c:strCache>
            </c:strRef>
          </c:tx>
          <c:spPr>
            <a:pattFill prst="shingle">
              <a:fgClr>
                <a:srgbClr val="88D288"/>
              </a:fgClr>
              <a:bgClr>
                <a:schemeClr val="bg1"/>
              </a:bgClr>
            </a:pattFill>
            <a:ln w="0">
              <a:solidFill>
                <a:srgbClr val="88D288"/>
              </a:solidFill>
            </a:ln>
          </c:spPr>
          <c:invertIfNegative val="0"/>
          <c:val>
            <c:numRef>
              <c:f>summary!$C$112:$K$112</c:f>
              <c:numCache>
                <c:formatCode>0.00</c:formatCode>
                <c:ptCount val="9"/>
                <c:pt idx="1">
                  <c:v>1.668871252204585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43-43C4-867E-E9B8461990D1}"/>
            </c:ext>
          </c:extLst>
        </c:ser>
        <c:ser>
          <c:idx val="10"/>
          <c:order val="10"/>
          <c:tx>
            <c:strRef>
              <c:f>summary!$A$113</c:f>
              <c:strCache>
                <c:ptCount val="1"/>
                <c:pt idx="0">
                  <c:v>Glen Canyon Dam, AZ, Lake Powell</c:v>
                </c:pt>
              </c:strCache>
            </c:strRef>
          </c:tx>
          <c:spPr>
            <a:solidFill>
              <a:srgbClr val="00B0F0"/>
            </a:solidFill>
            <a:ln w="38100" cmpd="sng">
              <a:solidFill>
                <a:srgbClr val="00B0F0"/>
              </a:solidFill>
            </a:ln>
          </c:spPr>
          <c:invertIfNegative val="0"/>
          <c:val>
            <c:numRef>
              <c:f>summary!$C$113:$E$113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0.26622557755670867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43-43C4-867E-E9B8461990D1}"/>
            </c:ext>
          </c:extLst>
        </c:ser>
        <c:ser>
          <c:idx val="11"/>
          <c:order val="11"/>
          <c:tx>
            <c:strRef>
              <c:f>summary!$A$114</c:f>
              <c:strCache>
                <c:ptCount val="1"/>
                <c:pt idx="0">
                  <c:v>Kentucky Dam, KY (TVA)</c:v>
                </c:pt>
              </c:strCache>
            </c:strRef>
          </c:tx>
          <c:spPr>
            <a:noFill/>
            <a:ln w="38100" cmpd="tri">
              <a:solidFill>
                <a:srgbClr val="00B0F0"/>
              </a:solidFill>
            </a:ln>
          </c:spPr>
          <c:invertIfNegative val="0"/>
          <c:val>
            <c:numRef>
              <c:f>summary!$C$114:$E$114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0.42775302432926215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43-43C4-867E-E9B8461990D1}"/>
            </c:ext>
          </c:extLst>
        </c:ser>
        <c:ser>
          <c:idx val="12"/>
          <c:order val="12"/>
          <c:tx>
            <c:strRef>
              <c:f>summary!$A$115</c:f>
              <c:strCache>
                <c:ptCount val="1"/>
                <c:pt idx="0">
                  <c:v>Oahe Dam, SD, Missouri River</c:v>
                </c:pt>
              </c:strCache>
            </c:strRef>
          </c:tx>
          <c:spPr>
            <a:solidFill>
              <a:schemeClr val="bg1"/>
            </a:solidFill>
            <a:ln w="38100" cmpd="dbl">
              <a:solidFill>
                <a:srgbClr val="00B0F0"/>
              </a:solidFill>
            </a:ln>
          </c:spPr>
          <c:invertIfNegative val="0"/>
          <c:val>
            <c:numRef>
              <c:f>summary!$C$115:$E$115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0.62711297314120884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43-43C4-867E-E9B8461990D1}"/>
            </c:ext>
          </c:extLst>
        </c:ser>
        <c:ser>
          <c:idx val="13"/>
          <c:order val="13"/>
          <c:tx>
            <c:strRef>
              <c:f>summary!$A$116</c:f>
              <c:strCache>
                <c:ptCount val="1"/>
                <c:pt idx="0">
                  <c:v>Hoover Dam, NV, Lake Mead</c:v>
                </c:pt>
              </c:strCache>
            </c:strRef>
          </c:tx>
          <c:spPr>
            <a:noFill/>
            <a:ln w="34925">
              <a:solidFill>
                <a:srgbClr val="00B0F0"/>
              </a:solidFill>
            </a:ln>
          </c:spPr>
          <c:invertIfNegative val="0"/>
          <c:val>
            <c:numRef>
              <c:f>summary!$C$116:$E$116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0.38350112882561938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43-43C4-867E-E9B8461990D1}"/>
            </c:ext>
          </c:extLst>
        </c:ser>
        <c:ser>
          <c:idx val="14"/>
          <c:order val="14"/>
          <c:tx>
            <c:strRef>
              <c:f>summary!$A$117</c:f>
              <c:strCache>
                <c:ptCount val="1"/>
                <c:pt idx="0">
                  <c:v>Fort Peck Dam, MT, Missouri River</c:v>
                </c:pt>
              </c:strCache>
            </c:strRef>
          </c:tx>
          <c:spPr>
            <a:solidFill>
              <a:schemeClr val="bg1"/>
            </a:solidFill>
            <a:ln w="22225">
              <a:solidFill>
                <a:srgbClr val="00B0F0"/>
              </a:solidFill>
            </a:ln>
          </c:spPr>
          <c:invertIfNegative val="0"/>
          <c:val>
            <c:numRef>
              <c:f>summary!$C$117:$E$117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0.36290657635363166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43-43C4-867E-E9B8461990D1}"/>
            </c:ext>
          </c:extLst>
        </c:ser>
        <c:ser>
          <c:idx val="15"/>
          <c:order val="15"/>
          <c:tx>
            <c:strRef>
              <c:f>summary!$A$118</c:f>
              <c:strCache>
                <c:ptCount val="1"/>
                <c:pt idx="0">
                  <c:v>Sam Rayburn Dam, TX, 16 lb/kWh</c:v>
                </c:pt>
              </c:strCache>
            </c:strRef>
          </c:tx>
          <c:spPr>
            <a:solidFill>
              <a:schemeClr val="bg1"/>
            </a:solidFill>
            <a:ln w="0">
              <a:solidFill>
                <a:srgbClr val="00B0F0"/>
              </a:solidFill>
            </a:ln>
          </c:spPr>
          <c:invertIfNegative val="0"/>
          <c:val>
            <c:numRef>
              <c:f>summary!$C$118:$E$118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13.779964292901232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43-43C4-867E-E9B84619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100"/>
        <c:axId val="317560320"/>
        <c:axId val="166069376"/>
        <c:extLst>
          <c:ext xmlns:c15="http://schemas.microsoft.com/office/drawing/2012/chart" uri="{02D57815-91ED-43cb-92C2-25804820EDAC}">
            <c15:filteredBarSeries>
              <c15:ser>
                <c:idx val="3"/>
                <c:order val="6"/>
                <c:tx>
                  <c:strRef>
                    <c:extLst>
                      <c:ext uri="{02D57815-91ED-43cb-92C2-25804820EDAC}">
                        <c15:formulaRef>
                          <c15:sqref>summary!$A$107</c15:sqref>
                        </c15:formulaRef>
                      </c:ext>
                    </c:extLst>
                    <c:strCache>
                      <c:ptCount val="1"/>
                      <c:pt idx="0">
                        <c:v>      NID+Deemer </c:v>
                      </c:pt>
                    </c:strCache>
                  </c:strRef>
                </c:tx>
                <c:spPr>
                  <a:pattFill prst="lgConfetti">
                    <a:fgClr>
                      <a:srgbClr val="00B0F0"/>
                    </a:fgClr>
                    <a:bgClr>
                      <a:schemeClr val="bg1"/>
                    </a:bgClr>
                  </a:pattFill>
                  <a:ln w="0">
                    <a:solidFill>
                      <a:srgbClr val="00B0F0"/>
                    </a:solidFill>
                  </a:ln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summary!$C$107:$K$107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F-E843-43C4-867E-E9B8461990D1}"/>
                  </c:ext>
                </c:extLst>
              </c15:ser>
            </c15:filteredBarSeries>
          </c:ext>
        </c:extLst>
      </c:barChart>
      <c:catAx>
        <c:axId val="31756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en-US"/>
          </a:p>
        </c:txPr>
        <c:crossAx val="166069376"/>
        <c:crosses val="autoZero"/>
        <c:auto val="1"/>
        <c:lblAlgn val="ctr"/>
        <c:lblOffset val="100"/>
        <c:noMultiLvlLbl val="0"/>
      </c:catAx>
      <c:valAx>
        <c:axId val="166069376"/>
        <c:scaling>
          <c:orientation val="minMax"/>
          <c:max val="4.55"/>
          <c:min val="0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anose="020B0604020202020204" pitchFamily="34" charset="0"/>
              </a:defRPr>
            </a:pPr>
            <a:endParaRPr lang="en-US"/>
          </a:p>
        </c:txPr>
        <c:crossAx val="317560320"/>
        <c:crosses val="autoZero"/>
        <c:crossBetween val="between"/>
        <c:majorUnit val="1.1000000000000001"/>
      </c:valAx>
    </c:plotArea>
    <c:legend>
      <c:legendPos val="r"/>
      <c:legendEntry>
        <c:idx val="4"/>
        <c:txPr>
          <a:bodyPr/>
          <a:lstStyle/>
          <a:p>
            <a:pPr>
              <a:defRPr b="0" i="1" baseline="0"/>
            </a:pPr>
            <a:endParaRPr lang="en-US"/>
          </a:p>
        </c:txPr>
      </c:legendEntry>
      <c:layout>
        <c:manualLayout>
          <c:xMode val="edge"/>
          <c:yMode val="edge"/>
          <c:x val="0.46715496101308507"/>
          <c:y val="9.0410650079398386E-2"/>
          <c:w val="0.53284503898691493"/>
          <c:h val="0.39130303853084197"/>
        </c:manualLayout>
      </c:layout>
      <c:overlay val="0"/>
      <c:spPr>
        <a:solidFill>
          <a:schemeClr val="bg1"/>
        </a:solidFill>
        <a:ln w="0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 horizontalDpi="0" verticalDpi="0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1025788522165278"/>
          <c:y val="0.13573463810850803"/>
          <c:w val="0.74663822857057482"/>
          <c:h val="0.51660477625482004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summary!$A$101</c:f>
              <c:strCache>
                <c:ptCount val="1"/>
                <c:pt idx="0">
                  <c:v> CO2+N2O 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summary!$C$99:$K$99</c:f>
              <c:strCache>
                <c:ptCount val="9"/>
                <c:pt idx="0">
                  <c:v> 6 Dams </c:v>
                </c:pt>
                <c:pt idx="1">
                  <c:v> Hydro </c:v>
                </c:pt>
                <c:pt idx="2">
                  <c:v> Coal </c:v>
                </c:pt>
                <c:pt idx="3">
                  <c:v> Gas </c:v>
                </c:pt>
                <c:pt idx="4">
                  <c:v> Coal+CCS </c:v>
                </c:pt>
                <c:pt idx="5">
                  <c:v> Gas+CCS </c:v>
                </c:pt>
                <c:pt idx="6">
                  <c:v> Nuclear </c:v>
                </c:pt>
                <c:pt idx="7">
                  <c:v> Solar </c:v>
                </c:pt>
                <c:pt idx="8">
                  <c:v> Wind </c:v>
                </c:pt>
              </c:strCache>
            </c:strRef>
          </c:cat>
          <c:val>
            <c:numRef>
              <c:f>summary!$C$101:$K$101</c:f>
              <c:numCache>
                <c:formatCode>0.00</c:formatCode>
                <c:ptCount val="9"/>
                <c:pt idx="2">
                  <c:v>2.2327795031601436</c:v>
                </c:pt>
                <c:pt idx="3">
                  <c:v>0.93131144075390471</c:v>
                </c:pt>
                <c:pt idx="4">
                  <c:v>0.35367548724986941</c:v>
                </c:pt>
                <c:pt idx="5">
                  <c:v>0.11692040104869059</c:v>
                </c:pt>
                <c:pt idx="6">
                  <c:v>2.2045855379188711E-2</c:v>
                </c:pt>
                <c:pt idx="7">
                  <c:v>7.0000000000000007E-2</c:v>
                </c:pt>
                <c:pt idx="8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A-4ABB-BCDC-02CF78ECA5B5}"/>
            </c:ext>
          </c:extLst>
        </c:ser>
        <c:ser>
          <c:idx val="4"/>
          <c:order val="1"/>
          <c:tx>
            <c:strRef>
              <c:f>summary!$A$102</c:f>
              <c:strCache>
                <c:ptCount val="1"/>
                <c:pt idx="0">
                  <c:v> CO2 upper estimate </c:v>
                </c:pt>
              </c:strCache>
            </c:strRef>
          </c:tx>
          <c:spPr>
            <a:pattFill prst="dkHorz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 w="0">
              <a:solidFill>
                <a:srgbClr val="FFC000"/>
              </a:solidFill>
            </a:ln>
          </c:spPr>
          <c:invertIfNegative val="0"/>
          <c:val>
            <c:numRef>
              <c:f>summary!$C$102:$K$102</c:f>
              <c:numCache>
                <c:formatCode>0.00</c:formatCode>
                <c:ptCount val="9"/>
                <c:pt idx="6">
                  <c:v>0.50705467372134039</c:v>
                </c:pt>
                <c:pt idx="7">
                  <c:v>0.2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A-4ABB-BCDC-02CF78ECA5B5}"/>
            </c:ext>
          </c:extLst>
        </c:ser>
        <c:ser>
          <c:idx val="0"/>
          <c:order val="2"/>
          <c:tx>
            <c:strRef>
              <c:f>summary!$A$103</c:f>
              <c:strCache>
                <c:ptCount val="1"/>
                <c:pt idx="0">
                  <c:v> Methane, EPA 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summary!$C$99:$K$99</c:f>
              <c:strCache>
                <c:ptCount val="9"/>
                <c:pt idx="0">
                  <c:v> 6 Dams </c:v>
                </c:pt>
                <c:pt idx="1">
                  <c:v> Hydro </c:v>
                </c:pt>
                <c:pt idx="2">
                  <c:v> Coal </c:v>
                </c:pt>
                <c:pt idx="3">
                  <c:v> Gas </c:v>
                </c:pt>
                <c:pt idx="4">
                  <c:v> Coal+CCS </c:v>
                </c:pt>
                <c:pt idx="5">
                  <c:v> Gas+CCS </c:v>
                </c:pt>
                <c:pt idx="6">
                  <c:v> Nuclear </c:v>
                </c:pt>
                <c:pt idx="7">
                  <c:v> Solar </c:v>
                </c:pt>
                <c:pt idx="8">
                  <c:v> Wind </c:v>
                </c:pt>
              </c:strCache>
            </c:strRef>
          </c:cat>
          <c:val>
            <c:numRef>
              <c:f>summary!$C$103:$K$103</c:f>
              <c:numCache>
                <c:formatCode>0.00</c:formatCode>
                <c:ptCount val="9"/>
                <c:pt idx="2">
                  <c:v>0.33586501159258314</c:v>
                </c:pt>
                <c:pt idx="3">
                  <c:v>0.28915472585508556</c:v>
                </c:pt>
                <c:pt idx="4">
                  <c:v>0.53201501293372466</c:v>
                </c:pt>
                <c:pt idx="5">
                  <c:v>0.36301590459076555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3A-4ABB-BCDC-02CF78ECA5B5}"/>
            </c:ext>
          </c:extLst>
        </c:ser>
        <c:ser>
          <c:idx val="1"/>
          <c:order val="3"/>
          <c:tx>
            <c:strRef>
              <c:f>summary!$A$104</c:f>
              <c:strCache>
                <c:ptCount val="1"/>
                <c:pt idx="0">
                  <c:v> Methane, EDF </c:v>
                </c:pt>
              </c:strCache>
            </c:strRef>
          </c:tx>
          <c:spPr>
            <a:pattFill prst="wdUpDiag">
              <a:fgClr>
                <a:srgbClr val="C00000"/>
              </a:fgClr>
              <a:bgClr>
                <a:schemeClr val="bg1"/>
              </a:bgClr>
            </a:pattFill>
          </c:spPr>
          <c:invertIfNegative val="0"/>
          <c:cat>
            <c:strRef>
              <c:f>summary!$C$99:$K$99</c:f>
              <c:strCache>
                <c:ptCount val="9"/>
                <c:pt idx="0">
                  <c:v> 6 Dams </c:v>
                </c:pt>
                <c:pt idx="1">
                  <c:v> Hydro </c:v>
                </c:pt>
                <c:pt idx="2">
                  <c:v> Coal </c:v>
                </c:pt>
                <c:pt idx="3">
                  <c:v> Gas </c:v>
                </c:pt>
                <c:pt idx="4">
                  <c:v> Coal+CCS </c:v>
                </c:pt>
                <c:pt idx="5">
                  <c:v> Gas+CCS </c:v>
                </c:pt>
                <c:pt idx="6">
                  <c:v> Nuclear </c:v>
                </c:pt>
                <c:pt idx="7">
                  <c:v> Solar </c:v>
                </c:pt>
                <c:pt idx="8">
                  <c:v> Wind </c:v>
                </c:pt>
              </c:strCache>
            </c:strRef>
          </c:cat>
          <c:val>
            <c:numRef>
              <c:f>summary!$C$104:$K$104</c:f>
              <c:numCache>
                <c:formatCode>0.00</c:formatCode>
                <c:ptCount val="9"/>
                <c:pt idx="3">
                  <c:v>0.19655696027331904</c:v>
                </c:pt>
                <c:pt idx="5">
                  <c:v>0.24676512730761979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3A-4ABB-BCDC-02CF78ECA5B5}"/>
            </c:ext>
          </c:extLst>
        </c:ser>
        <c:ser>
          <c:idx val="6"/>
          <c:order val="4"/>
          <c:tx>
            <c:strRef>
              <c:f>summary!$A$105</c:f>
              <c:strCache>
                <c:ptCount val="1"/>
                <c:pt idx="0">
                  <c:v> Hydroelectricity estimates: 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val>
            <c:numRef>
              <c:f>summary!$D$105</c:f>
              <c:numCache>
                <c:formatCode>0.00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E83A-4ABB-BCDC-02CF78ECA5B5}"/>
            </c:ext>
          </c:extLst>
        </c:ser>
        <c:ser>
          <c:idx val="5"/>
          <c:order val="5"/>
          <c:tx>
            <c:strRef>
              <c:f>summary!$A$106</c:f>
              <c:strCache>
                <c:ptCount val="1"/>
                <c:pt idx="0">
                  <c:v>      Scherer, USA average </c:v>
                </c:pt>
              </c:strCache>
            </c:strRef>
          </c:tx>
          <c:spPr>
            <a:solidFill>
              <a:schemeClr val="bg1"/>
            </a:solidFill>
            <a:ln w="38100">
              <a:solidFill>
                <a:srgbClr val="002060"/>
              </a:solidFill>
            </a:ln>
          </c:spPr>
          <c:invertIfNegative val="0"/>
          <c:val>
            <c:numRef>
              <c:f>summary!$C$106:$D$106</c:f>
              <c:numCache>
                <c:formatCode>_(* #,##0.00_);_(* \(#,##0.00\);_(* "-"??_);_(@_)</c:formatCode>
                <c:ptCount val="2"/>
                <c:pt idx="1">
                  <c:v>0.60780825000000005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3A-4ABB-BCDC-02CF78ECA5B5}"/>
            </c:ext>
          </c:extLst>
        </c:ser>
        <c:ser>
          <c:idx val="7"/>
          <c:order val="7"/>
          <c:tx>
            <c:strRef>
              <c:f>summary!$A$110</c:f>
              <c:strCache>
                <c:ptCount val="1"/>
                <c:pt idx="0">
                  <c:v>      Horvath, woodland+shrubland  </c:v>
                </c:pt>
              </c:strCache>
            </c:strRef>
          </c:tx>
          <c:spPr>
            <a:pattFill prst="lgConfetti">
              <a:fgClr>
                <a:srgbClr val="88D288"/>
              </a:fgClr>
              <a:bgClr>
                <a:schemeClr val="bg1"/>
              </a:bgClr>
            </a:pattFill>
            <a:ln w="0">
              <a:solidFill>
                <a:srgbClr val="88D288"/>
              </a:solidFill>
            </a:ln>
          </c:spPr>
          <c:invertIfNegative val="0"/>
          <c:val>
            <c:numRef>
              <c:f>summary!$C$110:$D$110</c:f>
              <c:numCache>
                <c:formatCode>0.00</c:formatCode>
                <c:ptCount val="2"/>
                <c:pt idx="1">
                  <c:v>0.20788839902998224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3A-4ABB-BCDC-02CF78ECA5B5}"/>
            </c:ext>
          </c:extLst>
        </c:ser>
        <c:ser>
          <c:idx val="8"/>
          <c:order val="8"/>
          <c:tx>
            <c:strRef>
              <c:f>summary!$A$111</c:f>
              <c:strCache>
                <c:ptCount val="1"/>
                <c:pt idx="0">
                  <c:v>      Horvath, boreal forests </c:v>
                </c:pt>
              </c:strCache>
            </c:strRef>
          </c:tx>
          <c:spPr>
            <a:pattFill prst="solidDmnd">
              <a:fgClr>
                <a:srgbClr val="88D288"/>
              </a:fgClr>
              <a:bgClr>
                <a:schemeClr val="bg1"/>
              </a:bgClr>
            </a:pattFill>
            <a:ln w="0">
              <a:solidFill>
                <a:srgbClr val="88D288"/>
              </a:solidFill>
            </a:ln>
          </c:spPr>
          <c:invertIfNegative val="0"/>
          <c:val>
            <c:numRef>
              <c:f>summary!$C$111:$K$111</c:f>
              <c:numCache>
                <c:formatCode>0.00</c:formatCode>
                <c:ptCount val="9"/>
                <c:pt idx="1">
                  <c:v>2.041446208112875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3A-4ABB-BCDC-02CF78ECA5B5}"/>
            </c:ext>
          </c:extLst>
        </c:ser>
        <c:ser>
          <c:idx val="9"/>
          <c:order val="9"/>
          <c:tx>
            <c:strRef>
              <c:f>summary!$A$112</c:f>
              <c:strCache>
                <c:ptCount val="1"/>
                <c:pt idx="0">
                  <c:v>      Horvath, temperate forests </c:v>
                </c:pt>
              </c:strCache>
            </c:strRef>
          </c:tx>
          <c:spPr>
            <a:pattFill prst="shingle">
              <a:fgClr>
                <a:srgbClr val="88D288"/>
              </a:fgClr>
              <a:bgClr>
                <a:schemeClr val="bg1"/>
              </a:bgClr>
            </a:pattFill>
            <a:ln w="0">
              <a:solidFill>
                <a:srgbClr val="88D288"/>
              </a:solidFill>
            </a:ln>
          </c:spPr>
          <c:invertIfNegative val="0"/>
          <c:val>
            <c:numRef>
              <c:f>summary!$C$112:$K$112</c:f>
              <c:numCache>
                <c:formatCode>0.00</c:formatCode>
                <c:ptCount val="9"/>
                <c:pt idx="1">
                  <c:v>1.668871252204585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3A-4ABB-BCDC-02CF78ECA5B5}"/>
            </c:ext>
          </c:extLst>
        </c:ser>
        <c:ser>
          <c:idx val="10"/>
          <c:order val="10"/>
          <c:tx>
            <c:strRef>
              <c:f>summary!$A$113</c:f>
              <c:strCache>
                <c:ptCount val="1"/>
                <c:pt idx="0">
                  <c:v>Glen Canyon Dam, AZ, Lake Powell</c:v>
                </c:pt>
              </c:strCache>
            </c:strRef>
          </c:tx>
          <c:spPr>
            <a:solidFill>
              <a:srgbClr val="00B0F0"/>
            </a:solidFill>
            <a:ln w="38100" cmpd="sng">
              <a:solidFill>
                <a:srgbClr val="00B0F0"/>
              </a:solidFill>
            </a:ln>
          </c:spPr>
          <c:invertIfNegative val="0"/>
          <c:val>
            <c:numRef>
              <c:f>summary!$C$113:$E$113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0.26622557755670867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3A-4ABB-BCDC-02CF78ECA5B5}"/>
            </c:ext>
          </c:extLst>
        </c:ser>
        <c:ser>
          <c:idx val="11"/>
          <c:order val="11"/>
          <c:tx>
            <c:strRef>
              <c:f>summary!$A$114</c:f>
              <c:strCache>
                <c:ptCount val="1"/>
                <c:pt idx="0">
                  <c:v>Kentucky Dam, KY (TVA)</c:v>
                </c:pt>
              </c:strCache>
            </c:strRef>
          </c:tx>
          <c:spPr>
            <a:noFill/>
            <a:ln w="38100" cmpd="tri">
              <a:solidFill>
                <a:srgbClr val="00B0F0"/>
              </a:solidFill>
            </a:ln>
          </c:spPr>
          <c:invertIfNegative val="0"/>
          <c:val>
            <c:numRef>
              <c:f>summary!$C$114:$E$114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0.42775302432926215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3A-4ABB-BCDC-02CF78ECA5B5}"/>
            </c:ext>
          </c:extLst>
        </c:ser>
        <c:ser>
          <c:idx val="12"/>
          <c:order val="12"/>
          <c:tx>
            <c:strRef>
              <c:f>summary!$A$115</c:f>
              <c:strCache>
                <c:ptCount val="1"/>
                <c:pt idx="0">
                  <c:v>Oahe Dam, SD, Missouri River</c:v>
                </c:pt>
              </c:strCache>
            </c:strRef>
          </c:tx>
          <c:spPr>
            <a:solidFill>
              <a:schemeClr val="bg1"/>
            </a:solidFill>
            <a:ln w="38100" cmpd="dbl">
              <a:solidFill>
                <a:srgbClr val="00B0F0"/>
              </a:solidFill>
            </a:ln>
          </c:spPr>
          <c:invertIfNegative val="0"/>
          <c:val>
            <c:numRef>
              <c:f>summary!$C$115:$E$115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0.62711297314120884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3A-4ABB-BCDC-02CF78ECA5B5}"/>
            </c:ext>
          </c:extLst>
        </c:ser>
        <c:ser>
          <c:idx val="13"/>
          <c:order val="13"/>
          <c:tx>
            <c:strRef>
              <c:f>summary!$A$116</c:f>
              <c:strCache>
                <c:ptCount val="1"/>
                <c:pt idx="0">
                  <c:v>Hoover Dam, NV, Lake Mead</c:v>
                </c:pt>
              </c:strCache>
            </c:strRef>
          </c:tx>
          <c:spPr>
            <a:noFill/>
            <a:ln w="34925">
              <a:solidFill>
                <a:srgbClr val="00B0F0"/>
              </a:solidFill>
            </a:ln>
          </c:spPr>
          <c:invertIfNegative val="0"/>
          <c:val>
            <c:numRef>
              <c:f>summary!$C$116:$E$116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0.38350112882561938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3A-4ABB-BCDC-02CF78ECA5B5}"/>
            </c:ext>
          </c:extLst>
        </c:ser>
        <c:ser>
          <c:idx val="14"/>
          <c:order val="14"/>
          <c:tx>
            <c:strRef>
              <c:f>summary!$A$117</c:f>
              <c:strCache>
                <c:ptCount val="1"/>
                <c:pt idx="0">
                  <c:v>Fort Peck Dam, MT, Missouri River</c:v>
                </c:pt>
              </c:strCache>
            </c:strRef>
          </c:tx>
          <c:spPr>
            <a:solidFill>
              <a:schemeClr val="bg1"/>
            </a:solidFill>
            <a:ln w="22225">
              <a:solidFill>
                <a:srgbClr val="00B0F0"/>
              </a:solidFill>
            </a:ln>
          </c:spPr>
          <c:invertIfNegative val="0"/>
          <c:val>
            <c:numRef>
              <c:f>summary!$C$117:$E$117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0.36290657635363166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3A-4ABB-BCDC-02CF78ECA5B5}"/>
            </c:ext>
          </c:extLst>
        </c:ser>
        <c:ser>
          <c:idx val="15"/>
          <c:order val="15"/>
          <c:tx>
            <c:strRef>
              <c:f>summary!$A$118</c:f>
              <c:strCache>
                <c:ptCount val="1"/>
                <c:pt idx="0">
                  <c:v>Sam Rayburn Dam, TX, 16 lb/kWh</c:v>
                </c:pt>
              </c:strCache>
            </c:strRef>
          </c:tx>
          <c:spPr>
            <a:solidFill>
              <a:schemeClr val="bg1"/>
            </a:solidFill>
            <a:ln w="0">
              <a:solidFill>
                <a:srgbClr val="00B0F0"/>
              </a:solidFill>
            </a:ln>
          </c:spPr>
          <c:invertIfNegative val="0"/>
          <c:val>
            <c:numRef>
              <c:f>summary!$C$118:$E$118</c:f>
              <c:numCache>
                <c:formatCode>_(* #,##0_);_(* \(#,##0\);_(* "-"??_);_(@_)</c:formatCode>
                <c:ptCount val="3"/>
                <c:pt idx="0" formatCode="_(* #,##0.00_);_(* \(#,##0.00\);_(* &quot;-&quot;??_);_(@_)">
                  <c:v>13.779964292901232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3A-4ABB-BCDC-02CF78ECA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overlap val="100"/>
        <c:axId val="317560320"/>
        <c:axId val="166069376"/>
        <c:extLst>
          <c:ext xmlns:c15="http://schemas.microsoft.com/office/drawing/2012/chart" uri="{02D57815-91ED-43cb-92C2-25804820EDAC}">
            <c15:filteredBarSeries>
              <c15:ser>
                <c:idx val="3"/>
                <c:order val="6"/>
                <c:tx>
                  <c:strRef>
                    <c:extLst>
                      <c:ext uri="{02D57815-91ED-43cb-92C2-25804820EDAC}">
                        <c15:formulaRef>
                          <c15:sqref>summary!$A$107</c15:sqref>
                        </c15:formulaRef>
                      </c:ext>
                    </c:extLst>
                    <c:strCache>
                      <c:ptCount val="1"/>
                      <c:pt idx="0">
                        <c:v>      NID+Deemer </c:v>
                      </c:pt>
                    </c:strCache>
                  </c:strRef>
                </c:tx>
                <c:spPr>
                  <a:pattFill prst="lgConfetti">
                    <a:fgClr>
                      <a:srgbClr val="00B0F0"/>
                    </a:fgClr>
                    <a:bgClr>
                      <a:schemeClr val="bg1"/>
                    </a:bgClr>
                  </a:pattFill>
                  <a:ln w="0">
                    <a:solidFill>
                      <a:srgbClr val="00B0F0"/>
                    </a:solidFill>
                  </a:ln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summary!$C$107:$K$107</c15:sqref>
                        </c15:formulaRef>
                      </c:ext>
                    </c:extLst>
                    <c:numCache>
                      <c:formatCode>0.00</c:formatCode>
                      <c:ptCount val="9"/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F-E83A-4ABB-BCDC-02CF78ECA5B5}"/>
                  </c:ext>
                </c:extLst>
              </c15:ser>
            </c15:filteredBarSeries>
          </c:ext>
        </c:extLst>
      </c:barChart>
      <c:catAx>
        <c:axId val="3175603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en-US"/>
          </a:p>
        </c:txPr>
        <c:crossAx val="166069376"/>
        <c:crosses val="autoZero"/>
        <c:auto val="1"/>
        <c:lblAlgn val="ctr"/>
        <c:lblOffset val="100"/>
        <c:noMultiLvlLbl val="0"/>
      </c:catAx>
      <c:valAx>
        <c:axId val="166069376"/>
        <c:scaling>
          <c:orientation val="minMax"/>
          <c:max val="4.55"/>
          <c:min val="0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Arial" panose="020B0604020202020204" pitchFamily="34" charset="0"/>
              </a:defRPr>
            </a:pPr>
            <a:endParaRPr lang="en-US"/>
          </a:p>
        </c:txPr>
        <c:crossAx val="317560320"/>
        <c:crosses val="autoZero"/>
        <c:crossBetween val="between"/>
        <c:majorUnit val="1.1000000000000001"/>
      </c:valAx>
    </c:plotArea>
    <c:legend>
      <c:legendPos val="r"/>
      <c:legendEntry>
        <c:idx val="4"/>
        <c:txPr>
          <a:bodyPr/>
          <a:lstStyle/>
          <a:p>
            <a:pPr>
              <a:defRPr b="0" i="1" baseline="0"/>
            </a:pPr>
            <a:endParaRPr lang="en-US"/>
          </a:p>
        </c:txPr>
      </c:legendEntry>
      <c:layout>
        <c:manualLayout>
          <c:xMode val="edge"/>
          <c:yMode val="edge"/>
          <c:x val="0.46715496101308507"/>
          <c:y val="9.0410650079398386E-2"/>
          <c:w val="0.53284503898691493"/>
          <c:h val="0.39130303853084197"/>
        </c:manualLayout>
      </c:layout>
      <c:overlay val="0"/>
      <c:spPr>
        <a:solidFill>
          <a:schemeClr val="bg1"/>
        </a:solidFill>
        <a:ln w="0"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 horizontalDpi="0" verticalDpi="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198120</xdr:colOff>
      <xdr:row>105</xdr:row>
      <xdr:rowOff>140970</xdr:rowOff>
    </xdr:from>
    <xdr:to>
      <xdr:col>12</xdr:col>
      <xdr:colOff>601980</xdr:colOff>
      <xdr:row>140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141</xdr:row>
      <xdr:rowOff>0</xdr:rowOff>
    </xdr:from>
    <xdr:to>
      <xdr:col>12</xdr:col>
      <xdr:colOff>403860</xdr:colOff>
      <xdr:row>173</xdr:row>
      <xdr:rowOff>160020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73A81B-1978-446B-A37E-BF637569C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624840</xdr:colOff>
      <xdr:row>175</xdr:row>
      <xdr:rowOff>118110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8D755CF-863E-412E-BBB5-71564437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0.00417</cdr:y>
    </cdr:from>
    <cdr:to>
      <cdr:x>1</cdr:x>
      <cdr:y>0.15391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713" y="19304"/>
          <a:ext cx="3997027" cy="693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300" b="1"/>
            <a:t>Pounds CO2-equivalent per Kilowatt-hour </a:t>
          </a:r>
          <a:r>
            <a:rPr lang="en-US" sz="1000" b="0">
              <a:solidFill>
                <a:schemeClr val="accent6">
                  <a:lumMod val="50000"/>
                </a:schemeClr>
              </a:solidFill>
            </a:rPr>
            <a:t>(or g/kWh=kg/MWh)</a:t>
          </a:r>
        </a:p>
        <a:p xmlns:a="http://schemas.openxmlformats.org/drawingml/2006/main">
          <a:r>
            <a:rPr lang="en-US" sz="1000" b="0"/>
            <a:t>Global warming effect in 20 years after each kWh is produced (GWP=87)</a:t>
          </a:r>
        </a:p>
      </cdr:txBody>
    </cdr:sp>
  </cdr:relSizeAnchor>
  <cdr:relSizeAnchor xmlns:cdr="http://schemas.openxmlformats.org/drawingml/2006/chartDrawing">
    <cdr:from>
      <cdr:x>0</cdr:x>
      <cdr:y>0.75638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501390"/>
          <a:ext cx="4015740" cy="1127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 Wind, Solar and Nuclear plants (&amp; processing Uranium) emits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which can be averaged over lifetime kWh a plant produces. Gas</a:t>
          </a: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&amp; Coal with carbon capture+storage (CCS) use more fuel than without, </a:t>
          </a: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 </a:t>
          </a:r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more upstream methane+CO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but capture 90% of CO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at plant. </a:t>
          </a: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Hydro reservoirs emit methane+CO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with large, varying estimates.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Sources: EPA , UCS, NETL, NREL, EDF, ETH .</a:t>
          </a:r>
          <a:r>
            <a:rPr lang="en-US" sz="1000" u="sng">
              <a:latin typeface="Arial" panose="020B0604020202020204" pitchFamily="34" charset="0"/>
              <a:cs typeface="Arial" panose="020B0604020202020204" pitchFamily="34" charset="0"/>
            </a:rPr>
            <a:t>co2list.org/emit.xlsx</a:t>
          </a:r>
        </a:p>
      </cdr:txBody>
    </cdr:sp>
  </cdr:relSizeAnchor>
  <cdr:relSizeAnchor xmlns:cdr="http://schemas.openxmlformats.org/drawingml/2006/chartDrawing">
    <cdr:from>
      <cdr:x>0.17518</cdr:x>
      <cdr:y>0.66019</cdr:y>
    </cdr:from>
    <cdr:to>
      <cdr:x>1</cdr:x>
      <cdr:y>0.78601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31510" y="4011931"/>
          <a:ext cx="3444250" cy="764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lb/kWh</a:t>
          </a:r>
        </a:p>
        <a:p xmlns:a="http://schemas.openxmlformats.org/drawingml/2006/main">
          <a:r>
            <a:rPr lang="en-US" sz="1000" b="1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0 </a:t>
          </a:r>
          <a:r>
            <a:rPr lang="en-US" sz="1000" b="1">
              <a:solidFill>
                <a:schemeClr val="accent6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g/kWh</a:t>
          </a:r>
          <a:r>
            <a:rPr lang="en-US" sz="1000" b="1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500 </a:t>
          </a:r>
          <a:r>
            <a:rPr lang="en-US" sz="1000" b="1" baseline="0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1,000            1,500             2,000</a:t>
          </a:r>
          <a:endParaRPr lang="en-US" sz="1000" b="1">
            <a:solidFill>
              <a:schemeClr val="accent6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0.00417</cdr:y>
    </cdr:from>
    <cdr:to>
      <cdr:x>1</cdr:x>
      <cdr:y>0.15391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713" y="19304"/>
          <a:ext cx="3997027" cy="693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300" b="1"/>
            <a:t>Pounds CO2-equivalent per Kilowatt-hour </a:t>
          </a:r>
          <a:r>
            <a:rPr lang="en-US" sz="1000" b="0">
              <a:solidFill>
                <a:schemeClr val="accent6">
                  <a:lumMod val="50000"/>
                </a:schemeClr>
              </a:solidFill>
            </a:rPr>
            <a:t>(or g/kWh=kg/MWh)</a:t>
          </a:r>
        </a:p>
        <a:p xmlns:a="http://schemas.openxmlformats.org/drawingml/2006/main">
          <a:r>
            <a:rPr lang="en-US" sz="1000" b="0"/>
            <a:t>Global warming effect in 20 years after each kWh is produced (GWP=87)</a:t>
          </a:r>
        </a:p>
      </cdr:txBody>
    </cdr:sp>
  </cdr:relSizeAnchor>
  <cdr:relSizeAnchor xmlns:cdr="http://schemas.openxmlformats.org/drawingml/2006/chartDrawing">
    <cdr:from>
      <cdr:x>0</cdr:x>
      <cdr:y>0.78336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518660"/>
          <a:ext cx="4175760" cy="1249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 Wind, Solar and Nuclear plants emits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but not much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when averaged over lifetime kWh the plant produces. Gas+Coal with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carbon capture+storage (CCS) use more fuel than without, so </a:t>
          </a:r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more </a:t>
          </a:r>
        </a:p>
        <a:p xmlns:a="http://schemas.openxmlformats.org/drawingml/2006/main"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upstream methane+CO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but capture 90% of CO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at plant. Hydro- </a:t>
          </a: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electric reservoirs emit methane+CO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with large+varying estimates.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Sources: EPA , UCS, NETL, NREL, EDF, ETH .</a:t>
          </a:r>
          <a:r>
            <a:rPr lang="en-US" sz="1100" u="sng">
              <a:effectLst/>
              <a:latin typeface="+mn-lt"/>
              <a:ea typeface="+mn-ea"/>
              <a:cs typeface="+mn-cs"/>
            </a:rPr>
            <a:t>co2list.org/emit.xlsx</a:t>
          </a:r>
          <a:endParaRPr lang="en-US" sz="1000">
            <a:effectLst/>
          </a:endParaRPr>
        </a:p>
      </cdr:txBody>
    </cdr:sp>
  </cdr:relSizeAnchor>
  <cdr:relSizeAnchor xmlns:cdr="http://schemas.openxmlformats.org/drawingml/2006/chartDrawing">
    <cdr:from>
      <cdr:x>0.17701</cdr:x>
      <cdr:y>0.69617</cdr:y>
    </cdr:from>
    <cdr:to>
      <cdr:x>1</cdr:x>
      <cdr:y>0.78601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39140" y="4015740"/>
          <a:ext cx="3436620" cy="5182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lb/kWh</a:t>
          </a:r>
        </a:p>
        <a:p xmlns:a="http://schemas.openxmlformats.org/drawingml/2006/main">
          <a:r>
            <a:rPr lang="en-US" sz="1000" b="1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0 </a:t>
          </a:r>
          <a:r>
            <a:rPr lang="en-US" sz="1000" b="1">
              <a:solidFill>
                <a:schemeClr val="accent6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g/kWh</a:t>
          </a:r>
          <a:r>
            <a:rPr lang="en-US" sz="1000" b="1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500 </a:t>
          </a:r>
          <a:r>
            <a:rPr lang="en-US" sz="1000" b="1" baseline="0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1,000            1,500             2,000</a:t>
          </a:r>
          <a:endParaRPr lang="en-US" sz="1000" b="1">
            <a:solidFill>
              <a:schemeClr val="accent6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0.00466</cdr:x>
      <cdr:y>0.00417</cdr:y>
    </cdr:from>
    <cdr:to>
      <cdr:x>1</cdr:x>
      <cdr:y>0.15391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713" y="19304"/>
          <a:ext cx="3997027" cy="693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300" b="1"/>
            <a:t>Pounds CO2-equivalent per Kilowatt-hour </a:t>
          </a:r>
          <a:r>
            <a:rPr lang="en-US" sz="1000" b="0">
              <a:solidFill>
                <a:schemeClr val="accent6">
                  <a:lumMod val="50000"/>
                </a:schemeClr>
              </a:solidFill>
            </a:rPr>
            <a:t>(or g/kWh=kg/MWh)</a:t>
          </a:r>
        </a:p>
        <a:p xmlns:a="http://schemas.openxmlformats.org/drawingml/2006/main">
          <a:r>
            <a:rPr lang="en-US" sz="1000" b="0"/>
            <a:t>Global warming effect in 20 years after each kWh is produced (GWP=87)</a:t>
          </a:r>
        </a:p>
      </cdr:txBody>
    </cdr:sp>
  </cdr:relSizeAnchor>
  <cdr:relSizeAnchor xmlns:cdr="http://schemas.openxmlformats.org/drawingml/2006/chartDrawing">
    <cdr:from>
      <cdr:x>0</cdr:x>
      <cdr:y>0.75638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501390"/>
          <a:ext cx="4015740" cy="1127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 Wind, Solar and Nuclear plants emits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but not much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when averaged over lifetime kWh the plant produces. Gas+Coal with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carbon capture+storage (CCS) use more fuel than without, so </a:t>
          </a:r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more </a:t>
          </a:r>
        </a:p>
        <a:p xmlns:a="http://schemas.openxmlformats.org/drawingml/2006/main"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upstream methane+CO</a:t>
          </a:r>
          <a:r>
            <a:rPr lang="en-US" sz="8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but capture 90% of CO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at plant. Hydro- </a:t>
          </a:r>
        </a:p>
        <a:p xmlns:a="http://schemas.openxmlformats.org/drawingml/2006/main"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electric reservoirs emit methane+CO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with large+varying estimates.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Sources: EPA , UCS, NETL, NREL, EDF, ETH .</a:t>
          </a:r>
          <a:r>
            <a:rPr lang="en-US" sz="1100" u="sng">
              <a:effectLst/>
              <a:latin typeface="+mn-lt"/>
              <a:ea typeface="+mn-ea"/>
              <a:cs typeface="+mn-cs"/>
            </a:rPr>
            <a:t>co2list.org/emit.xlsx</a:t>
          </a:r>
        </a:p>
        <a:p xmlns:a="http://schemas.openxmlformats.org/drawingml/2006/main">
          <a:r>
            <a:rPr lang="en-US" sz="1100" u="sng">
              <a:effectLst/>
              <a:latin typeface="+mn-lt"/>
              <a:ea typeface="+mn-ea"/>
              <a:cs typeface="+mn-cs"/>
            </a:rPr>
            <a:t>BETTER VERSION IS AT RIGHT?</a:t>
          </a:r>
          <a:endParaRPr lang="en-US" sz="1000">
            <a:effectLst/>
          </a:endParaRPr>
        </a:p>
      </cdr:txBody>
    </cdr:sp>
  </cdr:relSizeAnchor>
  <cdr:relSizeAnchor xmlns:cdr="http://schemas.openxmlformats.org/drawingml/2006/chartDrawing">
    <cdr:from>
      <cdr:x>0.17518</cdr:x>
      <cdr:y>0.65761</cdr:y>
    </cdr:from>
    <cdr:to>
      <cdr:x>1</cdr:x>
      <cdr:y>0.78601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31520" y="3044190"/>
          <a:ext cx="3444240" cy="594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lb/kWh</a:t>
          </a:r>
        </a:p>
        <a:p xmlns:a="http://schemas.openxmlformats.org/drawingml/2006/main">
          <a:r>
            <a:rPr lang="en-US" sz="1000" b="1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0 </a:t>
          </a:r>
          <a:r>
            <a:rPr lang="en-US" sz="1000" b="1">
              <a:solidFill>
                <a:schemeClr val="accent6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g/kWh</a:t>
          </a:r>
          <a:r>
            <a:rPr lang="en-US" sz="1000" b="1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500 </a:t>
          </a:r>
          <a:r>
            <a:rPr lang="en-US" sz="1000" b="1" baseline="0">
              <a:solidFill>
                <a:schemeClr val="accent6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1,000            1,500             2,000</a:t>
          </a:r>
          <a:endParaRPr lang="en-US" sz="1000" b="1">
            <a:solidFill>
              <a:schemeClr val="accent6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ia.gov/tools/glossary/index.php?id=Combined%20heat%20and%20power%20(CHP)%20plant" TargetMode="External"/><Relationship Id="rId1" Type="http://schemas.openxmlformats.org/officeDocument/2006/relationships/hyperlink" Target="https://www.eia.gov/tools/glossary/index.php?id=Net%20generat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M130"/>
  <sheetViews>
    <sheetView tabSelected="1" workbookViewId="0">
      <pane xSplit="1" ySplit="1" topLeftCell="B118" activePane="bottomRight" state="frozen"/>
      <selection pane="topRight" activeCell="B1" sqref="B1"/>
      <selection pane="bottomLeft" activeCell="A3" sqref="A3"/>
      <selection pane="bottomRight"/>
    </sheetView>
  </sheetViews>
  <sheetFormatPr defaultColWidth="9.109375" defaultRowHeight="13.8"/>
  <cols>
    <col min="1" max="1" width="51.77734375" style="6" customWidth="1"/>
    <col min="2" max="2" width="13.33203125" style="6" customWidth="1"/>
    <col min="3" max="3" width="11.21875" style="6" customWidth="1"/>
    <col min="4" max="4" width="9.44140625" style="6" customWidth="1"/>
    <col min="5" max="5" width="13.21875" style="6" customWidth="1"/>
    <col min="6" max="6" width="9.44140625" style="6" customWidth="1"/>
    <col min="7" max="7" width="16.88671875" style="6" customWidth="1"/>
    <col min="8" max="8" width="11.21875" style="6" customWidth="1"/>
    <col min="9" max="9" width="8.88671875" style="6" customWidth="1"/>
    <col min="10" max="10" width="9.44140625" style="6" customWidth="1"/>
    <col min="11" max="11" width="16.33203125" style="6" customWidth="1"/>
    <col min="12" max="16384" width="9.109375" style="6"/>
  </cols>
  <sheetData>
    <row r="1" spans="1:8" s="1" customFormat="1" ht="57" customHeight="1">
      <c r="A1" s="124" t="s">
        <v>648</v>
      </c>
      <c r="B1" s="1" t="s">
        <v>95</v>
      </c>
      <c r="C1" s="1" t="s">
        <v>33</v>
      </c>
      <c r="D1" s="1" t="s">
        <v>0</v>
      </c>
      <c r="E1" s="1" t="s">
        <v>321</v>
      </c>
      <c r="F1" s="1" t="s">
        <v>34</v>
      </c>
      <c r="G1" s="219" t="s">
        <v>216</v>
      </c>
      <c r="H1" s="136" t="s">
        <v>198</v>
      </c>
    </row>
    <row r="2" spans="1:8" s="1" customFormat="1" ht="25.2" customHeight="1">
      <c r="A2" s="219" t="s">
        <v>319</v>
      </c>
      <c r="G2" s="219"/>
      <c r="H2" s="136"/>
    </row>
    <row r="3" spans="1:8" s="121" customFormat="1" ht="12" customHeight="1">
      <c r="A3" s="120" t="s">
        <v>306</v>
      </c>
      <c r="C3" s="97">
        <v>6350001</v>
      </c>
      <c r="G3" s="97" t="s">
        <v>208</v>
      </c>
      <c r="H3" s="125" t="s">
        <v>194</v>
      </c>
    </row>
    <row r="4" spans="1:8" s="121" customFormat="1" ht="12" customHeight="1">
      <c r="A4" s="120" t="s">
        <v>307</v>
      </c>
      <c r="C4" s="97">
        <v>23550471</v>
      </c>
      <c r="G4" s="97" t="s">
        <v>2</v>
      </c>
      <c r="H4" s="97" t="s">
        <v>3</v>
      </c>
    </row>
    <row r="5" spans="1:8" s="97" customFormat="1">
      <c r="A5" s="97" t="s">
        <v>305</v>
      </c>
      <c r="B5" s="97">
        <v>37129374</v>
      </c>
      <c r="C5" s="97">
        <f>C3+C4</f>
        <v>29900472</v>
      </c>
      <c r="D5" s="97">
        <v>6275713</v>
      </c>
      <c r="E5" s="97">
        <v>953189</v>
      </c>
      <c r="G5" s="97" t="s">
        <v>2</v>
      </c>
      <c r="H5" s="97" t="s">
        <v>3</v>
      </c>
    </row>
    <row r="6" spans="1:8" s="97" customFormat="1">
      <c r="A6" s="97" t="s">
        <v>308</v>
      </c>
      <c r="B6" s="97">
        <v>3584274</v>
      </c>
      <c r="D6" s="97">
        <f>B6</f>
        <v>3584274</v>
      </c>
      <c r="G6" s="97" t="s">
        <v>2</v>
      </c>
      <c r="H6" s="97" t="s">
        <v>3</v>
      </c>
    </row>
    <row r="7" spans="1:8" s="97" customFormat="1">
      <c r="A7" s="97" t="s">
        <v>309</v>
      </c>
      <c r="B7" s="97">
        <v>468347</v>
      </c>
      <c r="C7" s="127">
        <v>50000</v>
      </c>
      <c r="D7" s="127">
        <f>B7-C7-E7</f>
        <v>368347</v>
      </c>
      <c r="E7" s="127">
        <v>50000</v>
      </c>
      <c r="G7" s="97" t="s">
        <v>2</v>
      </c>
      <c r="H7" s="97" t="s">
        <v>409</v>
      </c>
    </row>
    <row r="8" spans="1:8" s="97" customFormat="1">
      <c r="A8" s="97" t="s">
        <v>1</v>
      </c>
      <c r="B8" s="97">
        <f>B5-B6-B7</f>
        <v>33076753</v>
      </c>
      <c r="C8" s="127">
        <f t="shared" ref="C8:E8" si="0">C5-C6-C7</f>
        <v>29850472</v>
      </c>
      <c r="D8" s="127">
        <f t="shared" si="0"/>
        <v>2323092</v>
      </c>
      <c r="E8" s="127">
        <f t="shared" si="0"/>
        <v>903189</v>
      </c>
      <c r="G8" s="97" t="s">
        <v>2</v>
      </c>
      <c r="H8" s="97" t="s">
        <v>3</v>
      </c>
    </row>
    <row r="9" spans="1:8" s="97" customFormat="1">
      <c r="A9" s="97" t="s">
        <v>314</v>
      </c>
      <c r="B9" s="97">
        <v>253459</v>
      </c>
      <c r="C9" s="127">
        <f>C8*$B9/$B8</f>
        <v>228736.80444534565</v>
      </c>
      <c r="D9" s="127">
        <f>D8*$B9/$B8</f>
        <v>17801.28101534029</v>
      </c>
      <c r="E9" s="127">
        <f t="shared" ref="E9" si="1">E8*$B9/$B8</f>
        <v>6920.9145393140616</v>
      </c>
      <c r="G9" s="97" t="s">
        <v>2</v>
      </c>
      <c r="H9" s="97" t="s">
        <v>3</v>
      </c>
    </row>
    <row r="10" spans="1:8" s="97" customFormat="1">
      <c r="A10" s="97" t="s">
        <v>310</v>
      </c>
      <c r="B10" s="97">
        <v>32823295</v>
      </c>
      <c r="C10" s="127">
        <f t="shared" ref="C10:E10" si="2">C8-C9</f>
        <v>29621735.195554655</v>
      </c>
      <c r="D10" s="127">
        <f t="shared" si="2"/>
        <v>2305290.7189846598</v>
      </c>
      <c r="E10" s="127">
        <f t="shared" si="2"/>
        <v>896268.08546068589</v>
      </c>
      <c r="F10" s="122"/>
      <c r="G10" s="97" t="s">
        <v>2</v>
      </c>
      <c r="H10" s="97" t="s">
        <v>3</v>
      </c>
    </row>
    <row r="11" spans="1:8" s="94" customFormat="1">
      <c r="A11" s="94" t="s">
        <v>310</v>
      </c>
      <c r="B11" s="128">
        <f>B10*$C$76/1000</f>
        <v>630.20726400000001</v>
      </c>
      <c r="C11" s="128">
        <f>C10*$C$76/1000</f>
        <v>568.73731575464933</v>
      </c>
      <c r="D11" s="128">
        <f>D10*$C$76/1000</f>
        <v>44.261581804505461</v>
      </c>
      <c r="E11" s="128">
        <f>E10*$C$76/1000</f>
        <v>17.208347240845168</v>
      </c>
      <c r="F11" s="95"/>
      <c r="G11" s="94" t="s">
        <v>70</v>
      </c>
      <c r="H11" s="94" t="s">
        <v>209</v>
      </c>
    </row>
    <row r="12" spans="1:8" s="97" customFormat="1">
      <c r="A12" s="97" t="s">
        <v>311</v>
      </c>
      <c r="B12" s="97">
        <v>2234593</v>
      </c>
      <c r="C12" s="127">
        <f t="shared" ref="C12:D12" si="3">C10*$B12/$B10</f>
        <v>2016632.4592287296</v>
      </c>
      <c r="D12" s="127">
        <f t="shared" si="3"/>
        <v>156943.00354696528</v>
      </c>
      <c r="E12" s="127">
        <f t="shared" ref="E12" si="4">E10*$B12/$B10</f>
        <v>61017.469144820789</v>
      </c>
      <c r="F12" s="123"/>
      <c r="G12" s="97" t="s">
        <v>2</v>
      </c>
      <c r="H12" s="97" t="s">
        <v>3</v>
      </c>
    </row>
    <row r="13" spans="1:8" s="97" customFormat="1">
      <c r="A13" s="97" t="s">
        <v>312</v>
      </c>
      <c r="B13" s="97">
        <v>30588702</v>
      </c>
      <c r="C13" s="127">
        <f t="shared" ref="C13:E13" si="5">C10-C12</f>
        <v>27605102.736325927</v>
      </c>
      <c r="D13" s="127">
        <f t="shared" si="5"/>
        <v>2148347.7154376945</v>
      </c>
      <c r="E13" s="127">
        <f t="shared" si="5"/>
        <v>835250.61631586507</v>
      </c>
      <c r="F13" s="123"/>
      <c r="G13" s="97" t="s">
        <v>2</v>
      </c>
      <c r="H13" s="97" t="s">
        <v>3</v>
      </c>
    </row>
    <row r="14" spans="1:8" s="254" customFormat="1">
      <c r="A14" s="254" t="s">
        <v>315</v>
      </c>
      <c r="D14" s="255">
        <v>4001.8919999999998</v>
      </c>
      <c r="E14" s="254">
        <v>756.16709500000002</v>
      </c>
      <c r="G14" s="254" t="s">
        <v>205</v>
      </c>
      <c r="H14" s="254" t="s">
        <v>206</v>
      </c>
    </row>
    <row r="15" spans="1:8" s="97" customFormat="1" ht="24.6" customHeight="1">
      <c r="A15" s="228" t="s">
        <v>320</v>
      </c>
      <c r="C15" s="127"/>
      <c r="D15" s="127"/>
      <c r="E15" s="127"/>
      <c r="F15" s="123"/>
    </row>
    <row r="16" spans="1:8" s="97" customFormat="1">
      <c r="A16" s="97" t="s">
        <v>313</v>
      </c>
      <c r="B16" s="97">
        <v>10588937</v>
      </c>
      <c r="C16" s="127">
        <f>C13*$B16/$B13</f>
        <v>9556099.953292653</v>
      </c>
      <c r="D16" s="127">
        <f>D13*$B16/$B13</f>
        <v>743696.76140111068</v>
      </c>
      <c r="E16" s="127">
        <f>E13*$B16/$B13</f>
        <v>289139.96270191087</v>
      </c>
      <c r="G16" s="97" t="s">
        <v>2</v>
      </c>
      <c r="H16" s="97" t="s">
        <v>96</v>
      </c>
    </row>
    <row r="17" spans="1:8" s="94" customFormat="1">
      <c r="A17" s="94" t="s">
        <v>207</v>
      </c>
      <c r="B17" s="96">
        <f>B16*$C$76/1000</f>
        <v>203.30759039999998</v>
      </c>
      <c r="C17" s="129">
        <f>C16*$C$76/1000</f>
        <v>183.47711910321891</v>
      </c>
      <c r="D17" s="129">
        <f>D16*$C$76/1000</f>
        <v>14.278977818901323</v>
      </c>
      <c r="E17" s="129">
        <f>E16*$C$76/1000</f>
        <v>5.5514872838766891</v>
      </c>
      <c r="G17" s="94" t="s">
        <v>70</v>
      </c>
      <c r="H17" s="94" t="s">
        <v>316</v>
      </c>
    </row>
    <row r="18" spans="1:8" s="94" customFormat="1">
      <c r="A18" s="94" t="s">
        <v>36</v>
      </c>
      <c r="E18" s="94">
        <v>637.21699999999998</v>
      </c>
      <c r="G18" s="94" t="s">
        <v>72</v>
      </c>
      <c r="H18" s="94" t="s">
        <v>37</v>
      </c>
    </row>
    <row r="19" spans="1:8" s="94" customFormat="1" ht="25.8" customHeight="1">
      <c r="A19" s="227" t="s">
        <v>322</v>
      </c>
    </row>
    <row r="20" spans="1:8" s="96" customFormat="1">
      <c r="A20" s="96" t="s">
        <v>324</v>
      </c>
      <c r="B20" s="99">
        <f>SUM(C20:E20)</f>
        <v>4.8000000000000001E-2</v>
      </c>
      <c r="C20" s="99">
        <f>GHGI!H19*0.001</f>
        <v>0.04</v>
      </c>
      <c r="E20" s="99">
        <f>GHGI!H18*0.001</f>
        <v>8.0000000000000002E-3</v>
      </c>
      <c r="G20" s="96" t="s">
        <v>70</v>
      </c>
      <c r="H20" s="96" t="s">
        <v>420</v>
      </c>
    </row>
    <row r="21" spans="1:8" s="96" customFormat="1">
      <c r="A21" s="96" t="s">
        <v>325</v>
      </c>
      <c r="B21" s="99">
        <f>SUM(C21:E21)</f>
        <v>9.1559999999999988</v>
      </c>
      <c r="C21" s="99">
        <f>GHGI!H4*0.001</f>
        <v>5.5979999999999999</v>
      </c>
      <c r="D21" s="99">
        <f>GHGI!H8*0.001</f>
        <v>1.4490000000000001</v>
      </c>
      <c r="E21" s="99">
        <f>GHGI!H7*0.001</f>
        <v>2.109</v>
      </c>
      <c r="G21" s="96" t="s">
        <v>70</v>
      </c>
      <c r="H21" s="96" t="s">
        <v>102</v>
      </c>
    </row>
    <row r="22" spans="1:8" s="96" customFormat="1">
      <c r="A22" s="96" t="s">
        <v>326</v>
      </c>
      <c r="B22" s="99">
        <f>SUM(C22:E22)</f>
        <v>0.52811399999999997</v>
      </c>
      <c r="C22" s="99">
        <f>GHGI!H24*0.001</f>
        <v>5.4462000000000003E-2</v>
      </c>
      <c r="D22" s="99">
        <f>GHGI!H23*0.001</f>
        <v>0.22665199999999999</v>
      </c>
      <c r="E22" s="99">
        <f>GHGI!H13*0.001</f>
        <v>0.247</v>
      </c>
      <c r="G22" s="96" t="s">
        <v>70</v>
      </c>
      <c r="H22" s="96" t="s">
        <v>101</v>
      </c>
    </row>
    <row r="23" spans="1:8" s="96" customFormat="1">
      <c r="A23" s="96" t="s">
        <v>327</v>
      </c>
      <c r="B23" s="99">
        <f>GHGI!K37*0.001</f>
        <v>5.08</v>
      </c>
      <c r="C23" s="99">
        <f>SUM(C21:C22)*$B23/SUM($C21:$D22)</f>
        <v>3.918403420034132</v>
      </c>
      <c r="D23" s="99">
        <f>SUM(D21:D22)*$B23/SUM($C21:$D22)</f>
        <v>1.1615965799658685</v>
      </c>
      <c r="E23" s="99"/>
      <c r="G23" s="96" t="s">
        <v>70</v>
      </c>
      <c r="H23" s="96" t="s">
        <v>425</v>
      </c>
    </row>
    <row r="24" spans="1:8" s="96" customFormat="1">
      <c r="A24" s="96" t="s">
        <v>317</v>
      </c>
      <c r="B24" s="100">
        <f>SUM(C20:D22)/SUM(C$11:D$11)</f>
        <v>1.2019783443882902E-2</v>
      </c>
      <c r="C24" s="100">
        <f>SUM(C21:C22)/C$11</f>
        <v>9.9386163759974666E-3</v>
      </c>
      <c r="D24" s="100">
        <f>SUM(D21:D22)/D$11</f>
        <v>3.7857933035493833E-2</v>
      </c>
      <c r="E24" s="100">
        <f>SUM(E21:E22)/E$11</f>
        <v>0.13691030097346454</v>
      </c>
      <c r="F24" s="101"/>
      <c r="G24" s="96" t="s">
        <v>104</v>
      </c>
    </row>
    <row r="25" spans="1:8" s="96" customFormat="1">
      <c r="A25" s="96" t="s">
        <v>318</v>
      </c>
      <c r="B25" s="100">
        <f>SUM(C23:D23)/SUM(C$11:D$11)</f>
        <v>8.287127465037205E-3</v>
      </c>
      <c r="C25" s="100">
        <f>C23/C$11</f>
        <v>6.8896541716009247E-3</v>
      </c>
      <c r="D25" s="100">
        <f>D23/D$11</f>
        <v>2.6243901202998299E-2</v>
      </c>
      <c r="E25" s="99"/>
      <c r="F25" s="101"/>
    </row>
    <row r="26" spans="1:8" s="96" customFormat="1">
      <c r="A26" s="96" t="s">
        <v>328</v>
      </c>
      <c r="B26" s="99"/>
      <c r="C26" s="99"/>
      <c r="D26" s="102">
        <f>SUM(D21:D23)/D14</f>
        <v>7.0897679896555653E-4</v>
      </c>
      <c r="E26" s="102">
        <f>SUM(E21:E23)/E14</f>
        <v>3.11571346542129E-3</v>
      </c>
      <c r="G26" s="96" t="s">
        <v>105</v>
      </c>
    </row>
    <row r="27" spans="1:8" s="96" customFormat="1">
      <c r="A27" s="96" t="s">
        <v>330</v>
      </c>
      <c r="C27" s="99">
        <f>C20+B$17*C24</f>
        <v>2.0605961473140253</v>
      </c>
      <c r="D27" s="99"/>
      <c r="E27" s="99">
        <f>E26*E18+E20</f>
        <v>1.9933855872953581</v>
      </c>
      <c r="F27" s="101">
        <f>Dams!B12</f>
        <v>1.42601347</v>
      </c>
      <c r="G27" s="96" t="s">
        <v>70</v>
      </c>
      <c r="H27" s="126" t="s">
        <v>397</v>
      </c>
    </row>
    <row r="28" spans="1:8" s="96" customFormat="1">
      <c r="A28" s="96" t="s">
        <v>329</v>
      </c>
      <c r="C28" s="99">
        <f>B$17*C25</f>
        <v>1.400718988317492</v>
      </c>
      <c r="D28" s="99"/>
      <c r="E28" s="99"/>
      <c r="F28" s="101"/>
      <c r="H28" s="126"/>
    </row>
    <row r="29" spans="1:8" s="96" customFormat="1">
      <c r="A29" s="231" t="s">
        <v>331</v>
      </c>
      <c r="C29" s="100">
        <f>SUM(C27:C28)/B17</f>
        <v>1.702501676804841E-2</v>
      </c>
      <c r="D29" s="220"/>
      <c r="E29" s="99"/>
      <c r="F29" s="101"/>
      <c r="H29" s="126"/>
    </row>
    <row r="30" spans="1:8" s="103" customFormat="1" ht="25.8" customHeight="1">
      <c r="A30" s="161" t="s">
        <v>323</v>
      </c>
      <c r="C30" s="229"/>
      <c r="D30" s="230"/>
      <c r="E30" s="207"/>
      <c r="F30" s="208"/>
      <c r="H30" s="209"/>
    </row>
    <row r="31" spans="1:8" s="103" customFormat="1">
      <c r="A31" s="103" t="s">
        <v>297</v>
      </c>
      <c r="C31" s="216">
        <f>GHGI!H80</f>
        <v>577.4</v>
      </c>
      <c r="D31" s="216">
        <f>GHGI!H81</f>
        <v>22.2</v>
      </c>
      <c r="E31" s="216">
        <f>GHGI!H79</f>
        <v>1152.9000000000001</v>
      </c>
      <c r="F31" s="208"/>
      <c r="G31" s="103" t="s">
        <v>70</v>
      </c>
      <c r="H31" s="209" t="s">
        <v>291</v>
      </c>
    </row>
    <row r="32" spans="1:8" s="103" customFormat="1">
      <c r="A32" s="103" t="s">
        <v>298</v>
      </c>
      <c r="C32" s="216">
        <f>GHGI!H94</f>
        <v>4.0999999999999996</v>
      </c>
      <c r="D32" s="216"/>
      <c r="E32" s="216">
        <f>GHGI!H92</f>
        <v>20.3</v>
      </c>
      <c r="F32" s="208"/>
      <c r="G32" s="103" t="s">
        <v>292</v>
      </c>
      <c r="H32" s="209" t="s">
        <v>291</v>
      </c>
    </row>
    <row r="33" spans="1:11" s="103" customFormat="1">
      <c r="A33" s="103" t="s">
        <v>299</v>
      </c>
      <c r="C33" s="104">
        <f>1000000*C31/B16</f>
        <v>54.528608490162895</v>
      </c>
      <c r="D33" s="207"/>
      <c r="E33" s="104">
        <f>E31/E18</f>
        <v>1.8092737638826335</v>
      </c>
      <c r="F33" s="208"/>
      <c r="G33" s="103" t="s">
        <v>108</v>
      </c>
      <c r="H33" s="209" t="s">
        <v>293</v>
      </c>
    </row>
    <row r="34" spans="1:11" s="103" customFormat="1">
      <c r="A34" s="103" t="s">
        <v>300</v>
      </c>
      <c r="C34" s="104">
        <v>53.12</v>
      </c>
      <c r="D34" s="104"/>
      <c r="E34" s="104">
        <v>2.1008200000000001</v>
      </c>
      <c r="G34" s="103" t="s">
        <v>108</v>
      </c>
      <c r="H34" s="103" t="s">
        <v>71</v>
      </c>
    </row>
    <row r="35" spans="1:11" s="103" customFormat="1">
      <c r="A35" s="103" t="s">
        <v>301</v>
      </c>
      <c r="C35" s="216">
        <f>GHGI!H52*0.001</f>
        <v>34.972000000000001</v>
      </c>
      <c r="D35" s="216">
        <f>GHGI!H51*0.001</f>
        <v>36.814</v>
      </c>
      <c r="E35" s="104"/>
      <c r="G35" s="103" t="s">
        <v>70</v>
      </c>
      <c r="H35" s="209" t="s">
        <v>102</v>
      </c>
    </row>
    <row r="36" spans="1:11" s="103" customFormat="1">
      <c r="A36" s="103" t="s">
        <v>302</v>
      </c>
      <c r="C36" s="103">
        <f>C32+C35*B16/B10</f>
        <v>15.382118530878754</v>
      </c>
      <c r="E36" s="103">
        <f>E32</f>
        <v>20.3</v>
      </c>
      <c r="F36" s="103">
        <f>Dams!C12</f>
        <v>21.744886660669444</v>
      </c>
      <c r="G36" s="103" t="s">
        <v>70</v>
      </c>
      <c r="H36" s="103" t="s">
        <v>138</v>
      </c>
    </row>
    <row r="37" spans="1:11" s="96" customFormat="1" ht="25.8" customHeight="1">
      <c r="A37" s="116" t="s">
        <v>333</v>
      </c>
    </row>
    <row r="38" spans="1:11" s="106" customFormat="1">
      <c r="A38" s="105" t="s">
        <v>94</v>
      </c>
      <c r="B38" s="106">
        <f>SUM(C38:F38)</f>
        <v>2822203</v>
      </c>
      <c r="C38" s="106">
        <f>GHGI!I101*1000</f>
        <v>1367069.0000000002</v>
      </c>
      <c r="D38" s="106">
        <f>GHGI!I104*1000</f>
        <v>24054.000000000004</v>
      </c>
      <c r="E38" s="106">
        <f>GHGI!I100*1000</f>
        <v>1138555.9999999998</v>
      </c>
      <c r="F38" s="106">
        <f>elec!H16</f>
        <v>292524</v>
      </c>
      <c r="G38" s="106" t="s">
        <v>35</v>
      </c>
      <c r="H38" s="107" t="s">
        <v>296</v>
      </c>
    </row>
    <row r="39" spans="1:11" s="96" customFormat="1">
      <c r="A39" s="108" t="s">
        <v>377</v>
      </c>
      <c r="C39" s="246">
        <f>2205*B17/C38</f>
        <v>0.32792290428061782</v>
      </c>
      <c r="D39" s="246"/>
      <c r="E39" s="246">
        <f>2000*E18/E38</f>
        <v>1.119342395103974</v>
      </c>
      <c r="F39" s="246"/>
      <c r="G39" s="109" t="s">
        <v>88</v>
      </c>
      <c r="H39" s="110" t="s">
        <v>396</v>
      </c>
    </row>
    <row r="40" spans="1:11" s="96" customFormat="1">
      <c r="A40" s="108" t="s">
        <v>378</v>
      </c>
      <c r="C40" s="247">
        <f>2205*C27/C$38</f>
        <v>3.323617538564202E-3</v>
      </c>
      <c r="D40" s="247">
        <f t="shared" ref="D40:E40" si="6">2205*D27/D$38</f>
        <v>0</v>
      </c>
      <c r="E40" s="247">
        <f t="shared" si="6"/>
        <v>3.8605173746273924E-3</v>
      </c>
      <c r="F40" s="246"/>
      <c r="G40" s="109" t="s">
        <v>88</v>
      </c>
      <c r="H40" s="110" t="s">
        <v>396</v>
      </c>
      <c r="K40" s="295"/>
    </row>
    <row r="41" spans="1:11" s="96" customFormat="1">
      <c r="A41" s="108" t="s">
        <v>379</v>
      </c>
      <c r="B41" s="108"/>
      <c r="C41" s="247">
        <f>2205*C28/C$38</f>
        <v>2.2592754054404488E-3</v>
      </c>
      <c r="D41" s="246"/>
      <c r="E41" s="246"/>
      <c r="F41" s="247">
        <f>2205*F27/F38</f>
        <v>1.0749065722299708E-2</v>
      </c>
      <c r="G41" s="109" t="s">
        <v>88</v>
      </c>
      <c r="H41" s="110" t="s">
        <v>396</v>
      </c>
    </row>
    <row r="42" spans="1:11" s="103" customFormat="1">
      <c r="A42" s="103" t="s">
        <v>380</v>
      </c>
      <c r="C42" s="104">
        <f>2205*C36/C38</f>
        <v>2.4810431193003166E-2</v>
      </c>
      <c r="D42" s="104"/>
      <c r="E42" s="104">
        <f>2205*E36/E38</f>
        <v>3.9314271761775453E-2</v>
      </c>
      <c r="F42" s="104"/>
      <c r="G42" s="109" t="s">
        <v>88</v>
      </c>
      <c r="H42" s="110" t="s">
        <v>396</v>
      </c>
    </row>
    <row r="43" spans="1:11" s="103" customFormat="1">
      <c r="A43" s="111" t="s">
        <v>381</v>
      </c>
      <c r="B43" s="111"/>
      <c r="C43" s="248">
        <f>2205*C31/C38</f>
        <v>0.93131144075390471</v>
      </c>
      <c r="D43" s="248"/>
      <c r="E43" s="248">
        <f>2205*E31/E38</f>
        <v>2.2327795031601436</v>
      </c>
      <c r="F43" s="104">
        <f>2205*F36/F38</f>
        <v>0.16390954276153794</v>
      </c>
      <c r="G43" s="109" t="s">
        <v>88</v>
      </c>
      <c r="H43" s="110" t="s">
        <v>396</v>
      </c>
    </row>
    <row r="44" spans="1:11" s="112" customFormat="1">
      <c r="A44" s="112" t="str">
        <f>CONCATENATE("CO2e at GWP=",B44)</f>
        <v>CO2e at GWP=87</v>
      </c>
      <c r="B44" s="130">
        <v>87</v>
      </c>
      <c r="C44" s="249">
        <f>C42+C43+$B$44*SUM(C40:C41)</f>
        <v>1.4418335580753125</v>
      </c>
      <c r="D44" s="249">
        <f t="shared" ref="D44:E44" si="7">D42+D43+$B$44*SUM(D40:D41)</f>
        <v>0</v>
      </c>
      <c r="E44" s="249">
        <f t="shared" si="7"/>
        <v>2.607958786514502</v>
      </c>
      <c r="F44" s="249">
        <f>F$42+F43+$B44*SUM(F$40:F$41)</f>
        <v>1.0990782606016125</v>
      </c>
      <c r="G44" s="109" t="s">
        <v>88</v>
      </c>
      <c r="H44" s="112" t="s">
        <v>398</v>
      </c>
    </row>
    <row r="45" spans="1:11" s="112" customFormat="1" ht="24.6" customHeight="1">
      <c r="A45" s="116" t="s">
        <v>334</v>
      </c>
      <c r="C45" s="249"/>
      <c r="D45" s="249">
        <f>1-1/0.63</f>
        <v>-0.58730158730158721</v>
      </c>
      <c r="E45" s="249"/>
      <c r="F45" s="249"/>
      <c r="G45" s="109"/>
    </row>
    <row r="46" spans="1:11" s="112" customFormat="1" ht="13.2" customHeight="1">
      <c r="A46" s="96" t="s">
        <v>415</v>
      </c>
      <c r="C46" s="249">
        <f>E44</f>
        <v>2.607958786514502</v>
      </c>
      <c r="D46" s="249"/>
      <c r="E46" s="249"/>
      <c r="F46" s="249"/>
      <c r="G46" s="109"/>
    </row>
    <row r="47" spans="1:11" s="112" customFormat="1" ht="13.2" customHeight="1">
      <c r="A47" s="96" t="s">
        <v>416</v>
      </c>
      <c r="C47" s="249">
        <f>C43+C42</f>
        <v>0.9561218719469079</v>
      </c>
      <c r="D47" s="249"/>
      <c r="E47" s="249"/>
      <c r="F47" s="249"/>
      <c r="G47" s="109"/>
    </row>
    <row r="48" spans="1:11" s="112" customFormat="1">
      <c r="A48" s="96" t="s">
        <v>382</v>
      </c>
      <c r="C48" s="249">
        <f>E44-C42-C43</f>
        <v>1.6518369145675942</v>
      </c>
      <c r="D48" s="249"/>
      <c r="E48" s="249"/>
      <c r="F48" s="249"/>
      <c r="G48" s="109" t="s">
        <v>88</v>
      </c>
      <c r="H48" s="112" t="s">
        <v>211</v>
      </c>
    </row>
    <row r="49" spans="1:9" s="112" customFormat="1">
      <c r="A49" s="112" t="s">
        <v>417</v>
      </c>
      <c r="C49" s="249">
        <f>C48/$B$44</f>
        <v>1.8986631201926368E-2</v>
      </c>
      <c r="D49" s="249"/>
      <c r="E49" s="249"/>
      <c r="F49" s="249"/>
      <c r="G49" s="109" t="s">
        <v>88</v>
      </c>
      <c r="H49" s="112" t="s">
        <v>212</v>
      </c>
    </row>
    <row r="50" spans="1:9" s="112" customFormat="1">
      <c r="A50" s="112" t="s">
        <v>418</v>
      </c>
      <c r="C50" s="249">
        <f>C39</f>
        <v>0.32792290428061782</v>
      </c>
      <c r="D50" s="249"/>
      <c r="E50" s="249"/>
      <c r="F50" s="249"/>
      <c r="G50" s="109"/>
    </row>
    <row r="51" spans="1:9" s="113" customFormat="1">
      <c r="A51" s="232" t="s">
        <v>332</v>
      </c>
      <c r="C51" s="244">
        <f>C49/C$39</f>
        <v>5.789967993720465E-2</v>
      </c>
      <c r="D51" s="114"/>
      <c r="E51" s="114"/>
      <c r="F51" s="115"/>
      <c r="G51" s="233" t="s">
        <v>104</v>
      </c>
      <c r="H51" s="232" t="s">
        <v>210</v>
      </c>
    </row>
    <row r="52" spans="1:9" s="116" customFormat="1" ht="24" customHeight="1">
      <c r="A52" s="116" t="s">
        <v>394</v>
      </c>
      <c r="C52" s="117"/>
      <c r="D52" s="118"/>
      <c r="E52" s="118"/>
      <c r="F52" s="118"/>
      <c r="G52" s="119"/>
      <c r="H52" s="130"/>
      <c r="I52" s="117"/>
    </row>
    <row r="53" spans="1:9" s="96" customFormat="1" ht="13.2" customHeight="1">
      <c r="A53" s="96" t="s">
        <v>430</v>
      </c>
      <c r="C53" s="342">
        <f>C31/B17</f>
        <v>2.8400316921959843</v>
      </c>
      <c r="D53" s="269"/>
      <c r="E53" s="342">
        <f>2205*E31/(2000*E18)</f>
        <v>1.9947243246806032</v>
      </c>
      <c r="F53" s="269"/>
      <c r="G53" s="111" t="s">
        <v>431</v>
      </c>
      <c r="H53" s="112"/>
      <c r="I53" s="268"/>
    </row>
    <row r="54" spans="1:9" s="143" customFormat="1">
      <c r="A54" s="145" t="s">
        <v>432</v>
      </c>
      <c r="C54" s="242">
        <f>$D88/C78</f>
        <v>7.9602166041037273E-2</v>
      </c>
      <c r="D54" s="242"/>
      <c r="E54" s="242">
        <f>$D88/E78</f>
        <v>0.20537096059186968</v>
      </c>
      <c r="G54" s="145" t="s">
        <v>392</v>
      </c>
      <c r="H54" s="146" t="s">
        <v>393</v>
      </c>
    </row>
    <row r="55" spans="1:9" s="103" customFormat="1">
      <c r="A55" s="343" t="s">
        <v>434</v>
      </c>
      <c r="B55" s="224"/>
      <c r="C55" s="207">
        <f>C53*C54</f>
        <v>0.22607267432399281</v>
      </c>
      <c r="D55" s="207">
        <f>D53*D54</f>
        <v>0</v>
      </c>
      <c r="E55" s="207">
        <f>E53*E54</f>
        <v>0.40965845067562401</v>
      </c>
      <c r="F55" s="225"/>
      <c r="G55" s="111" t="s">
        <v>437</v>
      </c>
      <c r="H55" s="226" t="s">
        <v>436</v>
      </c>
    </row>
    <row r="56" spans="1:9" s="103" customFormat="1">
      <c r="A56" s="343" t="s">
        <v>433</v>
      </c>
      <c r="B56" s="274">
        <v>0.9</v>
      </c>
      <c r="C56" s="207">
        <f>$B56*C55</f>
        <v>0.20346540689159354</v>
      </c>
      <c r="D56" s="207">
        <f t="shared" ref="D56:E56" si="8">$B56*D55</f>
        <v>0</v>
      </c>
      <c r="E56" s="207">
        <f t="shared" si="8"/>
        <v>0.36869260560806161</v>
      </c>
      <c r="F56" s="225"/>
      <c r="G56" s="111" t="s">
        <v>435</v>
      </c>
      <c r="H56" s="226"/>
    </row>
    <row r="57" spans="1:9" s="131" customFormat="1">
      <c r="A57" s="108" t="s">
        <v>390</v>
      </c>
      <c r="B57" s="256"/>
      <c r="C57" s="250">
        <f t="shared" ref="C57:E59" si="9">C40/(1-C$56)</f>
        <v>4.1725966044915581E-3</v>
      </c>
      <c r="D57" s="250">
        <f t="shared" si="9"/>
        <v>0</v>
      </c>
      <c r="E57" s="250">
        <f t="shared" si="9"/>
        <v>6.1151150911922377E-3</v>
      </c>
      <c r="G57" s="132" t="s">
        <v>385</v>
      </c>
      <c r="H57" s="133" t="s">
        <v>391</v>
      </c>
    </row>
    <row r="58" spans="1:9" s="131" customFormat="1">
      <c r="A58" s="108" t="s">
        <v>388</v>
      </c>
      <c r="B58" s="256"/>
      <c r="C58" s="250">
        <f t="shared" si="9"/>
        <v>2.8363807736508022E-3</v>
      </c>
      <c r="D58" s="250">
        <f t="shared" si="9"/>
        <v>0</v>
      </c>
      <c r="E58" s="250">
        <f t="shared" si="9"/>
        <v>0</v>
      </c>
      <c r="G58" s="132" t="s">
        <v>385</v>
      </c>
      <c r="H58" s="133" t="s">
        <v>391</v>
      </c>
    </row>
    <row r="59" spans="1:9" s="221" customFormat="1">
      <c r="A59" s="111" t="s">
        <v>380</v>
      </c>
      <c r="B59" s="257"/>
      <c r="C59" s="245">
        <f t="shared" si="9"/>
        <v>3.1147964454604077E-2</v>
      </c>
      <c r="D59" s="245">
        <f t="shared" si="9"/>
        <v>0</v>
      </c>
      <c r="E59" s="245">
        <f t="shared" si="9"/>
        <v>6.22743723755083E-2</v>
      </c>
      <c r="G59" s="222" t="s">
        <v>385</v>
      </c>
      <c r="H59" s="133" t="s">
        <v>391</v>
      </c>
    </row>
    <row r="60" spans="1:9" s="221" customFormat="1">
      <c r="A60" s="111" t="s">
        <v>381</v>
      </c>
      <c r="B60" s="257"/>
      <c r="C60" s="245">
        <f>(1-$B$56)*C43/(1-C56)</f>
        <v>0.11692040104869059</v>
      </c>
      <c r="D60" s="245">
        <f>(1-$B$56)*D43/(1-D56)</f>
        <v>0</v>
      </c>
      <c r="E60" s="245">
        <f>(1-$B$56)*E43/(1-E56)</f>
        <v>0.35367548724986941</v>
      </c>
      <c r="G60" s="222" t="s">
        <v>385</v>
      </c>
      <c r="H60" s="223" t="s">
        <v>389</v>
      </c>
    </row>
    <row r="61" spans="1:9" s="131" customFormat="1">
      <c r="A61" s="251" t="s">
        <v>387</v>
      </c>
      <c r="B61" s="258"/>
      <c r="C61" s="249">
        <f>C59+C60+$B$44*SUM(C57:C58)</f>
        <v>0.75784939740168</v>
      </c>
      <c r="D61" s="249">
        <f t="shared" ref="D61" si="10">D59+D60+$B$44*SUM(D57:D58)</f>
        <v>0</v>
      </c>
      <c r="E61" s="249">
        <f t="shared" ref="E61" si="11">E59+E60+$B$44*SUM(E57:E58)</f>
        <v>0.94796487255910233</v>
      </c>
      <c r="G61" s="132"/>
      <c r="H61" s="133"/>
    </row>
    <row r="62" spans="1:9" s="131" customFormat="1" ht="25.2" customHeight="1">
      <c r="A62" s="252" t="s">
        <v>414</v>
      </c>
      <c r="B62" s="258"/>
      <c r="C62" s="249"/>
      <c r="D62" s="249"/>
      <c r="E62" s="249"/>
      <c r="G62" s="132"/>
      <c r="H62" s="133" t="s">
        <v>410</v>
      </c>
    </row>
    <row r="63" spans="1:9" s="106" customFormat="1">
      <c r="A63" s="270" t="s">
        <v>404</v>
      </c>
      <c r="B63" s="271"/>
      <c r="C63" s="106">
        <f>(1-C56)*C38</f>
        <v>1088917.7496661162</v>
      </c>
      <c r="E63" s="106">
        <f>(1-E56)*E38</f>
        <v>718778.82172930765</v>
      </c>
      <c r="F63" s="272"/>
      <c r="G63" s="106" t="s">
        <v>35</v>
      </c>
      <c r="H63" s="273"/>
    </row>
    <row r="64" spans="1:9" s="96" customFormat="1">
      <c r="A64" s="267" t="s">
        <v>406</v>
      </c>
      <c r="B64" s="268"/>
      <c r="C64" s="96">
        <f>B56*C31*2205</f>
        <v>1145850.2999999998</v>
      </c>
      <c r="E64" s="96">
        <f>$B$56*2205*E31</f>
        <v>2287930.0500000003</v>
      </c>
      <c r="F64" s="269"/>
      <c r="G64" s="96" t="s">
        <v>405</v>
      </c>
      <c r="H64" s="112"/>
    </row>
    <row r="65" spans="1:8" s="96" customFormat="1">
      <c r="A65" s="267" t="s">
        <v>407</v>
      </c>
      <c r="B65" s="268"/>
      <c r="C65" s="99">
        <f>(C38-C63)/C64</f>
        <v>0.24274658769464394</v>
      </c>
      <c r="D65" s="99"/>
      <c r="E65" s="99">
        <f>(E38-E63)/E64</f>
        <v>0.18347465573551608</v>
      </c>
      <c r="F65" s="269"/>
      <c r="G65" s="96" t="s">
        <v>408</v>
      </c>
      <c r="H65" s="112"/>
    </row>
    <row r="66" spans="1:8" s="131" customFormat="1" ht="24.6" customHeight="1">
      <c r="A66" s="252" t="s">
        <v>386</v>
      </c>
      <c r="B66" s="258"/>
      <c r="C66" s="249"/>
      <c r="D66" s="249"/>
      <c r="E66" s="249"/>
      <c r="G66" s="132"/>
      <c r="H66" s="133"/>
    </row>
    <row r="67" spans="1:8" s="131" customFormat="1">
      <c r="A67" s="251" t="s">
        <v>412</v>
      </c>
      <c r="B67" s="258"/>
      <c r="C67" s="341">
        <f>(C43*(1/C55-1)-C42)/$B44</f>
        <v>3.6360925347877451E-2</v>
      </c>
      <c r="D67" s="102"/>
      <c r="E67" s="341">
        <f>(E43*($B56/E56-1)-E42)/$B44</f>
        <v>3.6531612469116237E-2</v>
      </c>
      <c r="G67" s="132" t="s">
        <v>438</v>
      </c>
      <c r="H67" s="133" t="s">
        <v>439</v>
      </c>
    </row>
    <row r="68" spans="1:8" s="131" customFormat="1">
      <c r="A68" s="251" t="s">
        <v>413</v>
      </c>
      <c r="B68" s="258"/>
      <c r="C68" s="296">
        <f>C67*C38/2205/B17</f>
        <v>0.11088254243064961</v>
      </c>
      <c r="D68" s="296"/>
      <c r="E68" s="297">
        <f>E67/E40</f>
        <v>9.4628799521054301</v>
      </c>
      <c r="G68" s="132"/>
      <c r="H68" s="133"/>
    </row>
    <row r="69" spans="1:8" s="440" customFormat="1" ht="25.2" customHeight="1">
      <c r="A69" s="437" t="s">
        <v>335</v>
      </c>
      <c r="B69" s="438"/>
      <c r="C69" s="439"/>
      <c r="D69" s="439"/>
    </row>
    <row r="70" spans="1:8" s="441" customFormat="1">
      <c r="A70" s="441" t="s">
        <v>91</v>
      </c>
      <c r="F70" s="442">
        <f>Dams!M12</f>
        <v>2.41</v>
      </c>
      <c r="G70" s="441" t="s">
        <v>92</v>
      </c>
      <c r="H70" s="441" t="s">
        <v>426</v>
      </c>
    </row>
    <row r="71" spans="1:8" s="443" customFormat="1">
      <c r="A71" s="443" t="s">
        <v>90</v>
      </c>
      <c r="F71" s="442">
        <f>Dams!M13</f>
        <v>65.98</v>
      </c>
      <c r="G71" s="443" t="s">
        <v>92</v>
      </c>
      <c r="H71" s="443" t="s">
        <v>427</v>
      </c>
    </row>
    <row r="72" spans="1:8" s="155" customFormat="1">
      <c r="A72" s="154" t="s">
        <v>399</v>
      </c>
      <c r="F72" s="253">
        <f>2.205*F70/1000</f>
        <v>5.3140500000000007E-3</v>
      </c>
      <c r="G72" s="154" t="s">
        <v>88</v>
      </c>
    </row>
    <row r="73" spans="1:8" s="157" customFormat="1">
      <c r="A73" s="156" t="s">
        <v>400</v>
      </c>
      <c r="F73" s="218">
        <f>2.205*F71/1000</f>
        <v>0.1454859</v>
      </c>
      <c r="G73" s="154" t="s">
        <v>88</v>
      </c>
    </row>
    <row r="74" spans="1:8" s="155" customFormat="1">
      <c r="A74" s="152"/>
      <c r="F74" s="153"/>
      <c r="G74" s="154"/>
    </row>
    <row r="75" spans="1:8" s="139" customFormat="1" ht="25.2" customHeight="1">
      <c r="A75" s="137" t="s">
        <v>336</v>
      </c>
      <c r="B75" s="138"/>
      <c r="C75" s="138"/>
      <c r="D75" s="138"/>
      <c r="E75" s="138"/>
      <c r="F75" s="138"/>
      <c r="G75" s="138"/>
    </row>
    <row r="76" spans="1:8" s="141" customFormat="1" ht="13.2" customHeight="1">
      <c r="A76" s="140" t="s">
        <v>204</v>
      </c>
      <c r="C76" s="142">
        <v>1.9199999999999998E-2</v>
      </c>
      <c r="G76" s="139" t="s">
        <v>200</v>
      </c>
      <c r="H76" s="139" t="s">
        <v>424</v>
      </c>
    </row>
    <row r="77" spans="1:8" s="143" customFormat="1">
      <c r="A77" s="143" t="s">
        <v>220</v>
      </c>
      <c r="C77" s="144">
        <v>1033</v>
      </c>
      <c r="E77" s="164">
        <v>18915000</v>
      </c>
      <c r="G77" s="145" t="s">
        <v>221</v>
      </c>
      <c r="H77" s="146" t="s">
        <v>219</v>
      </c>
    </row>
    <row r="78" spans="1:8" s="143" customFormat="1">
      <c r="A78" s="145" t="s">
        <v>383</v>
      </c>
      <c r="C78" s="163">
        <f>1000*C77/(2205*C76)</f>
        <v>24400.037792894938</v>
      </c>
      <c r="E78" s="164">
        <f>E77/2000</f>
        <v>9457.5</v>
      </c>
      <c r="G78" s="145" t="s">
        <v>384</v>
      </c>
      <c r="H78" s="146"/>
    </row>
    <row r="79" spans="1:8" s="156" customFormat="1">
      <c r="A79" s="160" t="s">
        <v>109</v>
      </c>
      <c r="B79" s="159">
        <f>C79/229</f>
        <v>0.51091703056768556</v>
      </c>
      <c r="C79" s="259">
        <v>117</v>
      </c>
      <c r="D79" s="158"/>
      <c r="E79" s="259">
        <f>AVERAGE(206,229)</f>
        <v>217.5</v>
      </c>
      <c r="F79" s="158"/>
      <c r="G79" s="160" t="s">
        <v>110</v>
      </c>
      <c r="H79" s="158" t="s">
        <v>218</v>
      </c>
    </row>
    <row r="80" spans="1:8" s="139" customFormat="1">
      <c r="A80" s="138" t="s">
        <v>84</v>
      </c>
      <c r="B80" s="147">
        <f>C80/E80</f>
        <v>0.76155766350474285</v>
      </c>
      <c r="C80" s="138">
        <v>7627</v>
      </c>
      <c r="D80" s="138"/>
      <c r="E80" s="138">
        <v>10015</v>
      </c>
      <c r="F80" s="138"/>
      <c r="G80" s="138" t="s">
        <v>86</v>
      </c>
      <c r="H80" s="138" t="s">
        <v>85</v>
      </c>
    </row>
    <row r="81" spans="1:12" s="139" customFormat="1">
      <c r="A81" s="139" t="s">
        <v>87</v>
      </c>
      <c r="B81" s="148">
        <f>B80*B79</f>
        <v>0.3890927800439079</v>
      </c>
      <c r="H81" s="139" t="s">
        <v>83</v>
      </c>
    </row>
    <row r="82" spans="1:12" s="139" customFormat="1">
      <c r="A82" s="139" t="s">
        <v>140</v>
      </c>
      <c r="H82" s="139" t="s">
        <v>139</v>
      </c>
    </row>
    <row r="83" spans="1:12" s="150" customFormat="1" ht="14.4" customHeight="1">
      <c r="A83" s="149" t="s">
        <v>217</v>
      </c>
      <c r="C83" s="260">
        <v>6.13</v>
      </c>
      <c r="D83" s="151"/>
      <c r="E83" s="151"/>
      <c r="F83" s="151"/>
      <c r="G83" s="237" t="s">
        <v>364</v>
      </c>
      <c r="H83" s="236" t="s">
        <v>352</v>
      </c>
    </row>
    <row r="84" spans="1:12" s="161" customFormat="1" ht="14.4" customHeight="1">
      <c r="A84" s="37"/>
      <c r="B84" s="240" t="s">
        <v>366</v>
      </c>
      <c r="C84" s="239" t="s">
        <v>368</v>
      </c>
      <c r="D84" s="241" t="s">
        <v>369</v>
      </c>
      <c r="E84" s="238"/>
      <c r="F84" s="238"/>
      <c r="G84" s="111"/>
      <c r="H84" s="47"/>
    </row>
    <row r="85" spans="1:12" s="161" customFormat="1">
      <c r="A85" s="39" t="s">
        <v>353</v>
      </c>
      <c r="B85" s="207">
        <v>25.88</v>
      </c>
      <c r="C85" s="156">
        <f>1000000*B85/C$83</f>
        <v>4221859.7063621534</v>
      </c>
      <c r="D85" s="261">
        <f t="shared" ref="D85:D88" si="12">C85/2205</f>
        <v>1914.6756037923599</v>
      </c>
      <c r="E85" s="225"/>
      <c r="F85" s="225"/>
      <c r="G85" s="111" t="s">
        <v>367</v>
      </c>
      <c r="H85" s="47" t="s">
        <v>357</v>
      </c>
    </row>
    <row r="86" spans="1:12" s="161" customFormat="1">
      <c r="A86" s="39" t="s">
        <v>354</v>
      </c>
      <c r="B86" s="207">
        <v>27.08</v>
      </c>
      <c r="C86" s="156">
        <f>1000000*B86/C$83</f>
        <v>4417618.2707993472</v>
      </c>
      <c r="D86" s="261">
        <f t="shared" si="12"/>
        <v>2003.4549980949421</v>
      </c>
      <c r="E86" s="225"/>
      <c r="F86" s="225"/>
      <c r="G86" s="111" t="s">
        <v>367</v>
      </c>
      <c r="H86" s="47" t="s">
        <v>358</v>
      </c>
    </row>
    <row r="87" spans="1:12" s="161" customFormat="1">
      <c r="A87" s="39" t="s">
        <v>355</v>
      </c>
      <c r="B87" s="207">
        <v>25.8</v>
      </c>
      <c r="C87" s="156">
        <f>1000000*B87/C$83</f>
        <v>4208809.1353996741</v>
      </c>
      <c r="D87" s="261">
        <f t="shared" si="12"/>
        <v>1908.756977505521</v>
      </c>
      <c r="E87" s="225"/>
      <c r="F87" s="225"/>
      <c r="G87" s="111" t="s">
        <v>367</v>
      </c>
      <c r="H87" s="47" t="s">
        <v>359</v>
      </c>
    </row>
    <row r="88" spans="1:12" s="161" customFormat="1">
      <c r="A88" s="39" t="s">
        <v>356</v>
      </c>
      <c r="B88" s="262">
        <f>AVERAGE(B85:B87)</f>
        <v>26.25333333333333</v>
      </c>
      <c r="C88" s="156">
        <f>1000000*B88/C$83</f>
        <v>4282762.3708537249</v>
      </c>
      <c r="D88" s="261">
        <f t="shared" si="12"/>
        <v>1942.2958597976076</v>
      </c>
      <c r="E88" s="225">
        <f>1500/D88</f>
        <v>0.7722819324530219</v>
      </c>
      <c r="F88" s="225"/>
      <c r="G88" s="111" t="s">
        <v>367</v>
      </c>
      <c r="H88" s="103" t="s">
        <v>360</v>
      </c>
    </row>
    <row r="89" spans="1:12">
      <c r="A89" s="39" t="s">
        <v>363</v>
      </c>
      <c r="D89" s="6">
        <v>1712</v>
      </c>
      <c r="G89" s="6" t="s">
        <v>362</v>
      </c>
      <c r="H89" s="6" t="s">
        <v>361</v>
      </c>
    </row>
    <row r="90" spans="1:12">
      <c r="A90" s="39" t="s">
        <v>363</v>
      </c>
      <c r="D90" s="6">
        <v>1290</v>
      </c>
      <c r="G90" s="6" t="s">
        <v>362</v>
      </c>
      <c r="H90" s="6" t="s">
        <v>365</v>
      </c>
    </row>
    <row r="91" spans="1:12">
      <c r="A91" s="39" t="s">
        <v>363</v>
      </c>
      <c r="D91" s="6">
        <v>2150</v>
      </c>
      <c r="G91" s="6" t="s">
        <v>362</v>
      </c>
      <c r="H91" s="6" t="s">
        <v>365</v>
      </c>
    </row>
    <row r="92" spans="1:12">
      <c r="A92" s="39"/>
    </row>
    <row r="93" spans="1:12">
      <c r="A93" s="235" t="s">
        <v>349</v>
      </c>
      <c r="B93" s="6">
        <f>2205*B44</f>
        <v>191835</v>
      </c>
    </row>
    <row r="94" spans="1:12" s="131" customFormat="1" ht="37.799999999999997" customHeight="1">
      <c r="A94" s="135" t="s">
        <v>337</v>
      </c>
      <c r="C94" s="134"/>
      <c r="F94" s="135"/>
      <c r="H94" s="135" t="s">
        <v>15</v>
      </c>
      <c r="I94" s="135" t="s">
        <v>18</v>
      </c>
      <c r="J94" s="1" t="s">
        <v>93</v>
      </c>
      <c r="K94" s="132"/>
      <c r="L94" s="112" t="s">
        <v>114</v>
      </c>
    </row>
    <row r="95" spans="1:12" s="54" customFormat="1">
      <c r="A95" s="54" t="s">
        <v>89</v>
      </c>
      <c r="C95" s="54">
        <v>0.6</v>
      </c>
      <c r="E95" s="54">
        <v>1.4</v>
      </c>
      <c r="F95" s="54">
        <f>(F73+25*F72)*2205</f>
        <v>613.73341575000006</v>
      </c>
      <c r="H95" s="54">
        <f>10/453.6</f>
        <v>2.2045855379188711E-2</v>
      </c>
      <c r="I95" s="54">
        <v>7.0000000000000007E-2</v>
      </c>
      <c r="J95" s="54">
        <v>0.02</v>
      </c>
      <c r="K95" s="98" t="s">
        <v>88</v>
      </c>
      <c r="L95" s="54" t="s">
        <v>214</v>
      </c>
    </row>
    <row r="96" spans="1:12" s="54" customFormat="1">
      <c r="A96" s="54" t="s">
        <v>106</v>
      </c>
      <c r="C96" s="54">
        <v>2</v>
      </c>
      <c r="E96" s="54">
        <v>3.6</v>
      </c>
      <c r="F96" s="54">
        <f>(F43+25*F41)*2205</f>
        <v>953.96278973096253</v>
      </c>
      <c r="H96" s="54">
        <f>230/453.6</f>
        <v>0.50705467372134039</v>
      </c>
      <c r="I96" s="54">
        <v>0.2</v>
      </c>
      <c r="J96" s="54">
        <v>0.04</v>
      </c>
      <c r="K96" s="98" t="s">
        <v>88</v>
      </c>
      <c r="L96" s="57" t="s">
        <v>215</v>
      </c>
    </row>
    <row r="97" spans="1:13" s="54" customFormat="1">
      <c r="A97" s="54" t="s">
        <v>338</v>
      </c>
      <c r="H97" s="152">
        <v>83</v>
      </c>
      <c r="I97" s="152">
        <v>82</v>
      </c>
      <c r="J97" s="152">
        <v>126</v>
      </c>
      <c r="K97" s="98"/>
      <c r="L97" s="57"/>
    </row>
    <row r="98" spans="1:13" s="54" customFormat="1">
      <c r="A98" s="54" t="s">
        <v>340</v>
      </c>
      <c r="H98" s="152">
        <v>49</v>
      </c>
      <c r="I98" s="152">
        <v>27</v>
      </c>
      <c r="J98" s="152">
        <v>49</v>
      </c>
      <c r="K98" s="98"/>
      <c r="L98" s="57"/>
    </row>
    <row r="99" spans="1:13" s="56" customFormat="1" ht="23.4" customHeight="1">
      <c r="A99" s="298" t="s">
        <v>401</v>
      </c>
      <c r="B99" s="298" t="s">
        <v>428</v>
      </c>
      <c r="C99" s="298" t="s">
        <v>451</v>
      </c>
      <c r="D99" s="298" t="s">
        <v>34</v>
      </c>
      <c r="E99" s="298" t="s">
        <v>8</v>
      </c>
      <c r="F99" s="298" t="s">
        <v>13</v>
      </c>
      <c r="G99" s="298" t="s">
        <v>303</v>
      </c>
      <c r="H99" s="298" t="s">
        <v>304</v>
      </c>
      <c r="I99" s="298" t="str">
        <f>H94</f>
        <v>Nuclear</v>
      </c>
      <c r="J99" s="298" t="str">
        <f>I94</f>
        <v>Solar</v>
      </c>
      <c r="K99" s="298" t="s">
        <v>93</v>
      </c>
    </row>
    <row r="100" spans="1:13" ht="11.4" customHeight="1">
      <c r="A100" s="243" t="s">
        <v>411</v>
      </c>
      <c r="B100" s="243"/>
      <c r="C100" s="75"/>
      <c r="D100" s="75"/>
      <c r="E100" s="75">
        <f>SUM(E101:E104)</f>
        <v>2.5686445147527266</v>
      </c>
      <c r="F100" s="75">
        <f t="shared" ref="F100:H100" si="13">SUM(F101:F104)</f>
        <v>1.4170231268823092</v>
      </c>
      <c r="G100" s="75">
        <f t="shared" si="13"/>
        <v>0.88569050018359408</v>
      </c>
      <c r="H100" s="75">
        <f t="shared" si="13"/>
        <v>0.7267014329470759</v>
      </c>
      <c r="I100" s="75"/>
      <c r="J100" s="75"/>
      <c r="K100" s="75"/>
    </row>
    <row r="101" spans="1:13" s="156" customFormat="1">
      <c r="A101" s="299" t="s">
        <v>374</v>
      </c>
      <c r="B101" s="299"/>
      <c r="C101" s="301"/>
      <c r="D101" s="301"/>
      <c r="E101" s="301">
        <f>SUM(E43:E43)</f>
        <v>2.2327795031601436</v>
      </c>
      <c r="F101" s="301">
        <f>SUM(C43:C43)</f>
        <v>0.93131144075390471</v>
      </c>
      <c r="G101" s="75">
        <f>E60</f>
        <v>0.35367548724986941</v>
      </c>
      <c r="H101" s="301">
        <f>C60</f>
        <v>0.11692040104869059</v>
      </c>
      <c r="I101" s="301">
        <f t="shared" ref="I101:K102" si="14">H95</f>
        <v>2.2045855379188711E-2</v>
      </c>
      <c r="J101" s="301">
        <f t="shared" si="14"/>
        <v>7.0000000000000007E-2</v>
      </c>
      <c r="K101" s="301">
        <f t="shared" si="14"/>
        <v>0.02</v>
      </c>
      <c r="L101" s="156" t="s">
        <v>88</v>
      </c>
      <c r="M101" s="162"/>
    </row>
    <row r="102" spans="1:13" s="156" customFormat="1">
      <c r="A102" s="299" t="s">
        <v>375</v>
      </c>
      <c r="B102" s="299"/>
      <c r="C102" s="301"/>
      <c r="D102" s="301"/>
      <c r="E102" s="301"/>
      <c r="F102" s="301"/>
      <c r="G102" s="301"/>
      <c r="H102" s="301"/>
      <c r="I102" s="301">
        <f t="shared" si="14"/>
        <v>0.50705467372134039</v>
      </c>
      <c r="J102" s="301">
        <f t="shared" si="14"/>
        <v>0.2</v>
      </c>
      <c r="K102" s="301">
        <f t="shared" si="14"/>
        <v>0.04</v>
      </c>
      <c r="M102" s="162"/>
    </row>
    <row r="103" spans="1:13">
      <c r="A103" s="243" t="s">
        <v>213</v>
      </c>
      <c r="B103" s="243"/>
      <c r="C103" s="75"/>
      <c r="D103" s="75"/>
      <c r="E103" s="75">
        <f>E40*$B$44</f>
        <v>0.33586501159258314</v>
      </c>
      <c r="F103" s="75">
        <f>C40*$B$44</f>
        <v>0.28915472585508556</v>
      </c>
      <c r="G103" s="75">
        <f>$B$44*E57</f>
        <v>0.53201501293372466</v>
      </c>
      <c r="H103" s="75">
        <f>$B$44*C57</f>
        <v>0.36301590459076555</v>
      </c>
      <c r="I103" s="75"/>
      <c r="J103" s="75"/>
      <c r="K103" s="75"/>
      <c r="L103" s="6" t="s">
        <v>107</v>
      </c>
    </row>
    <row r="104" spans="1:13">
      <c r="A104" s="243" t="s">
        <v>370</v>
      </c>
      <c r="B104" s="243"/>
      <c r="C104" s="75"/>
      <c r="D104" s="75"/>
      <c r="E104" s="75"/>
      <c r="F104" s="75">
        <f>C41*$B$44</f>
        <v>0.19655696027331904</v>
      </c>
      <c r="G104" s="75"/>
      <c r="H104" s="75">
        <f>$B$44*C58</f>
        <v>0.24676512730761979</v>
      </c>
      <c r="I104" s="75"/>
      <c r="J104" s="75"/>
      <c r="K104" s="75"/>
      <c r="L104" s="6" t="s">
        <v>115</v>
      </c>
      <c r="M104" s="29"/>
    </row>
    <row r="105" spans="1:13" s="152" customFormat="1">
      <c r="A105" s="300" t="s">
        <v>376</v>
      </c>
      <c r="B105" s="300"/>
      <c r="C105" s="302"/>
      <c r="D105" s="302"/>
      <c r="E105" s="302"/>
      <c r="F105" s="302"/>
      <c r="G105" s="302"/>
      <c r="H105" s="302"/>
      <c r="I105" s="302"/>
      <c r="J105" s="302"/>
      <c r="K105" s="302"/>
      <c r="M105" s="54"/>
    </row>
    <row r="106" spans="1:13" s="152" customFormat="1">
      <c r="A106" s="300" t="s">
        <v>450</v>
      </c>
      <c r="B106" s="302">
        <f>F72*$B$44+F73</f>
        <v>0.60780825000000005</v>
      </c>
      <c r="C106" s="54"/>
      <c r="D106" s="54">
        <f>B106</f>
        <v>0.60780825000000005</v>
      </c>
      <c r="E106" s="302"/>
      <c r="F106" s="302"/>
      <c r="G106" s="302"/>
      <c r="H106" s="302"/>
      <c r="I106" s="302"/>
      <c r="J106" s="302"/>
      <c r="K106" s="302"/>
      <c r="M106" s="54"/>
    </row>
    <row r="107" spans="1:13">
      <c r="A107" s="243" t="s">
        <v>371</v>
      </c>
      <c r="B107" s="340">
        <f>F44</f>
        <v>1.0990782606016125</v>
      </c>
      <c r="C107" s="75"/>
      <c r="D107" s="75"/>
      <c r="E107" s="75" t="s">
        <v>395</v>
      </c>
      <c r="F107" s="75"/>
      <c r="G107" s="75"/>
      <c r="H107" s="75"/>
      <c r="I107" s="75"/>
      <c r="J107" s="75"/>
      <c r="K107" s="75"/>
      <c r="M107" s="29"/>
    </row>
    <row r="108" spans="1:13">
      <c r="A108" s="243" t="str">
        <f>CONCATENATE("         in ",A125)</f>
        <v xml:space="preserve">         in desert scrub</v>
      </c>
      <c r="B108" s="340">
        <f>C125</f>
        <v>0.10802469135802469</v>
      </c>
      <c r="C108" s="75"/>
      <c r="D108" s="75"/>
      <c r="E108" s="75"/>
      <c r="F108" s="75"/>
      <c r="G108" s="75"/>
      <c r="H108" s="75"/>
      <c r="I108" s="75"/>
      <c r="J108" s="75"/>
      <c r="K108" s="75"/>
      <c r="M108" s="30"/>
    </row>
    <row r="109" spans="1:13">
      <c r="A109" s="243" t="str">
        <f>CONCATENATE("         in ",A126)</f>
        <v xml:space="preserve">         in grassland </v>
      </c>
      <c r="B109" s="340">
        <f>C126</f>
        <v>0.21825396825396826</v>
      </c>
      <c r="C109" s="75"/>
      <c r="D109" s="75"/>
      <c r="E109" s="75"/>
      <c r="F109" s="75"/>
      <c r="G109" s="75"/>
      <c r="H109" s="75"/>
      <c r="I109" s="75"/>
      <c r="J109" s="75"/>
      <c r="K109" s="75"/>
      <c r="M109" s="30"/>
    </row>
    <row r="110" spans="1:13">
      <c r="A110" s="243" t="str">
        <f>CONCATENATE("     Horvath, ",A127)</f>
        <v xml:space="preserve">     Horvath, woodland+shrubland </v>
      </c>
      <c r="B110" s="340">
        <f>C127</f>
        <v>0.81569664902998229</v>
      </c>
      <c r="C110" s="75"/>
      <c r="D110" s="75">
        <f>B110-B106</f>
        <v>0.20788839902998224</v>
      </c>
      <c r="E110" s="75"/>
      <c r="F110" s="75"/>
      <c r="G110" s="75"/>
      <c r="H110" s="75"/>
      <c r="I110" s="75"/>
      <c r="J110" s="75"/>
      <c r="K110" s="75"/>
      <c r="M110" s="30"/>
    </row>
    <row r="111" spans="1:13">
      <c r="A111" s="243" t="s">
        <v>372</v>
      </c>
      <c r="B111" s="340">
        <f>C128</f>
        <v>2.8571428571428572</v>
      </c>
      <c r="C111" s="75"/>
      <c r="D111" s="75">
        <f>B111-B110</f>
        <v>2.041446208112875</v>
      </c>
      <c r="E111" s="75" t="s">
        <v>395</v>
      </c>
      <c r="F111" s="75"/>
      <c r="G111" s="75"/>
      <c r="H111" s="75"/>
      <c r="I111" s="75"/>
      <c r="J111" s="75"/>
      <c r="K111" s="75"/>
      <c r="M111" s="30"/>
    </row>
    <row r="112" spans="1:13">
      <c r="A112" s="243" t="s">
        <v>373</v>
      </c>
      <c r="B112" s="340">
        <f>C129</f>
        <v>4.5260141093474422</v>
      </c>
      <c r="C112" s="75"/>
      <c r="D112" s="75">
        <f>B112-B111</f>
        <v>1.668871252204585</v>
      </c>
      <c r="E112" s="75" t="s">
        <v>395</v>
      </c>
      <c r="F112" s="75"/>
      <c r="G112" s="75"/>
      <c r="H112" s="75"/>
      <c r="I112" s="75"/>
      <c r="J112" s="75"/>
      <c r="K112" s="75"/>
    </row>
    <row r="113" spans="1:12" ht="14.4">
      <c r="A113" s="363" t="s">
        <v>455</v>
      </c>
      <c r="B113" s="361">
        <v>0.26622557755670867</v>
      </c>
      <c r="C113" s="30">
        <f>B113</f>
        <v>0.26622557755670867</v>
      </c>
      <c r="E113" s="30"/>
      <c r="F113" s="359">
        <v>0.20426935473313132</v>
      </c>
      <c r="G113" s="358">
        <v>29875000</v>
      </c>
      <c r="H113" s="75"/>
      <c r="I113" s="75"/>
      <c r="J113" s="75"/>
      <c r="K113" s="75"/>
      <c r="L113" s="75"/>
    </row>
    <row r="114" spans="1:12" ht="14.4">
      <c r="A114" s="363" t="s">
        <v>453</v>
      </c>
      <c r="B114" s="361">
        <v>0.69397860188597082</v>
      </c>
      <c r="C114" s="30">
        <f>B114-B113</f>
        <v>0.42775302432926215</v>
      </c>
      <c r="E114" s="30"/>
      <c r="F114" s="359">
        <v>0.46687915373943445</v>
      </c>
      <c r="G114" s="360">
        <v>7535400</v>
      </c>
      <c r="H114" s="75"/>
      <c r="I114" s="75"/>
      <c r="J114" s="75"/>
      <c r="K114" s="75"/>
      <c r="L114" s="75"/>
    </row>
    <row r="115" spans="1:12" ht="14.4">
      <c r="A115" s="363" t="s">
        <v>456</v>
      </c>
      <c r="B115" s="361">
        <v>1.3210915750271797</v>
      </c>
      <c r="C115" s="30">
        <f t="shared" ref="C115:C118" si="15">B115-B114</f>
        <v>0.62711297314120884</v>
      </c>
      <c r="E115" s="30"/>
      <c r="F115" s="359">
        <v>0.68609556930756155</v>
      </c>
      <c r="G115" s="360">
        <v>23600000</v>
      </c>
      <c r="H115" s="75"/>
      <c r="I115" s="75"/>
      <c r="J115" s="75"/>
      <c r="K115" s="75"/>
      <c r="L115" s="75"/>
    </row>
    <row r="116" spans="1:12" ht="14.4">
      <c r="A116" s="362" t="s">
        <v>454</v>
      </c>
      <c r="B116" s="361">
        <v>1.704592703852799</v>
      </c>
      <c r="C116" s="30">
        <f t="shared" si="15"/>
        <v>0.38350112882561938</v>
      </c>
      <c r="E116" s="30"/>
      <c r="F116" s="359">
        <v>0.82797641027064339</v>
      </c>
      <c r="G116" s="360">
        <v>30237000</v>
      </c>
      <c r="H116" s="75"/>
      <c r="I116" s="75"/>
      <c r="J116" s="75"/>
      <c r="K116" s="75"/>
      <c r="L116" s="75"/>
    </row>
    <row r="117" spans="1:12" ht="14.4">
      <c r="A117" s="363" t="s">
        <v>457</v>
      </c>
      <c r="B117" s="361">
        <v>2.0674992802064307</v>
      </c>
      <c r="C117" s="30">
        <f t="shared" si="15"/>
        <v>0.36290657635363166</v>
      </c>
      <c r="E117" s="30"/>
      <c r="F117" s="359">
        <v>1.0434114221613382</v>
      </c>
      <c r="G117" s="360">
        <v>19100000</v>
      </c>
      <c r="H117" s="75"/>
      <c r="I117" s="75"/>
      <c r="J117" s="75"/>
      <c r="K117" s="75"/>
      <c r="L117" s="75"/>
    </row>
    <row r="118" spans="1:12" ht="14.4">
      <c r="A118" s="362" t="s">
        <v>452</v>
      </c>
      <c r="B118" s="361">
        <v>15.847463573107662</v>
      </c>
      <c r="C118" s="30">
        <f t="shared" si="15"/>
        <v>13.779964292901232</v>
      </c>
      <c r="E118" s="30"/>
      <c r="F118" s="359">
        <v>7.1175701333732277</v>
      </c>
      <c r="G118" s="360">
        <v>6520000</v>
      </c>
      <c r="H118" s="75"/>
      <c r="I118" s="75"/>
      <c r="J118" s="75"/>
      <c r="K118" s="75"/>
      <c r="L118" s="75"/>
    </row>
    <row r="119" spans="1:12">
      <c r="A119" s="243" t="s">
        <v>458</v>
      </c>
      <c r="B119" s="340"/>
      <c r="C119" s="75"/>
      <c r="D119" s="75"/>
      <c r="E119" s="75"/>
      <c r="F119" s="75"/>
      <c r="G119" s="75"/>
      <c r="H119" s="75"/>
      <c r="I119" s="75"/>
      <c r="J119" s="75"/>
    </row>
    <row r="120" spans="1:12">
      <c r="A120" s="243"/>
      <c r="B120" s="340"/>
      <c r="C120" s="75"/>
      <c r="D120" s="75"/>
      <c r="E120" s="75"/>
      <c r="F120" s="75"/>
      <c r="G120" s="75"/>
      <c r="H120" s="75"/>
      <c r="I120" s="75"/>
      <c r="J120" s="75"/>
    </row>
    <row r="121" spans="1:12">
      <c r="A121" s="234" t="str">
        <f t="shared" ref="A121" si="16">CONCATENATE("         in ",A130)</f>
        <v xml:space="preserve">         in tropical forests </v>
      </c>
      <c r="B121" s="340">
        <f t="shared" ref="B121" si="17">C130</f>
        <v>5.9435626102292769</v>
      </c>
      <c r="K121" s="30"/>
    </row>
    <row r="122" spans="1:12">
      <c r="A122" s="217" t="s">
        <v>348</v>
      </c>
      <c r="B122" s="31"/>
      <c r="D122" s="6" t="s">
        <v>402</v>
      </c>
    </row>
    <row r="123" spans="1:12">
      <c r="A123" s="217" t="s">
        <v>345</v>
      </c>
      <c r="B123" s="263" t="s">
        <v>350</v>
      </c>
      <c r="C123" s="5" t="s">
        <v>346</v>
      </c>
      <c r="D123" s="6" t="s">
        <v>347</v>
      </c>
    </row>
    <row r="124" spans="1:12">
      <c r="A124" s="264"/>
      <c r="B124" s="31"/>
    </row>
    <row r="125" spans="1:12">
      <c r="A125" s="217" t="s">
        <v>351</v>
      </c>
      <c r="B125" s="217">
        <v>49</v>
      </c>
      <c r="C125" s="30">
        <f t="shared" ref="C125:C130" si="18">B125/453.6</f>
        <v>0.10802469135802469</v>
      </c>
    </row>
    <row r="126" spans="1:12">
      <c r="A126" s="217" t="s">
        <v>344</v>
      </c>
      <c r="B126" s="217">
        <v>99</v>
      </c>
      <c r="C126" s="30">
        <f t="shared" si="18"/>
        <v>0.21825396825396826</v>
      </c>
    </row>
    <row r="127" spans="1:12">
      <c r="A127" s="217" t="s">
        <v>429</v>
      </c>
      <c r="B127" s="217">
        <v>370</v>
      </c>
      <c r="C127" s="30">
        <f t="shared" si="18"/>
        <v>0.81569664902998229</v>
      </c>
    </row>
    <row r="128" spans="1:12">
      <c r="A128" s="217" t="s">
        <v>343</v>
      </c>
      <c r="B128" s="265">
        <v>1296</v>
      </c>
      <c r="C128" s="30">
        <f t="shared" si="18"/>
        <v>2.8571428571428572</v>
      </c>
    </row>
    <row r="129" spans="1:3">
      <c r="A129" s="217" t="s">
        <v>342</v>
      </c>
      <c r="B129" s="265">
        <v>2053</v>
      </c>
      <c r="C129" s="30">
        <f t="shared" si="18"/>
        <v>4.5260141093474422</v>
      </c>
    </row>
    <row r="130" spans="1:3">
      <c r="A130" s="217" t="s">
        <v>341</v>
      </c>
      <c r="B130" s="265">
        <v>2696</v>
      </c>
      <c r="C130" s="30">
        <f t="shared" si="18"/>
        <v>5.9435626102292769</v>
      </c>
    </row>
  </sheetData>
  <phoneticPr fontId="4" type="noConversion"/>
  <pageMargins left="0.2" right="0.2" top="0.25" bottom="0.25" header="0.05" footer="0.05"/>
  <pageSetup fitToHeight="0" orientation="landscape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P2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8"/>
  <cols>
    <col min="1" max="1" width="10.77734375" style="31" customWidth="1"/>
    <col min="2" max="2" width="8.88671875" style="31"/>
    <col min="3" max="4" width="10.33203125" style="31" customWidth="1"/>
    <col min="5" max="7" width="8.88671875" style="31"/>
    <col min="8" max="8" width="13.109375" style="31" customWidth="1"/>
    <col min="9" max="9" width="8.88671875" style="31"/>
    <col min="10" max="10" width="12.77734375" style="31" customWidth="1"/>
    <col min="11" max="12" width="8.88671875" style="31"/>
    <col min="13" max="13" width="15.33203125" style="31" customWidth="1"/>
    <col min="14" max="14" width="12.6640625" style="31" customWidth="1"/>
    <col min="15" max="15" width="13.44140625" style="31" customWidth="1"/>
    <col min="16" max="16" width="12.6640625" style="31" customWidth="1"/>
    <col min="17" max="16384" width="8.88671875" style="31"/>
  </cols>
  <sheetData>
    <row r="1" spans="1:16">
      <c r="A1" s="31" t="s">
        <v>30</v>
      </c>
      <c r="I1" s="31" t="s">
        <v>31</v>
      </c>
      <c r="L1" s="31" t="s">
        <v>32</v>
      </c>
    </row>
    <row r="2" spans="1:16" s="35" customFormat="1" ht="30.6" customHeight="1">
      <c r="A2" s="32"/>
      <c r="B2" s="33" t="s">
        <v>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 t="s">
        <v>5</v>
      </c>
      <c r="O2" s="34" t="s">
        <v>6</v>
      </c>
      <c r="P2" s="32"/>
    </row>
    <row r="3" spans="1:16" s="37" customFormat="1" ht="42" customHeight="1">
      <c r="A3" s="36" t="s">
        <v>7</v>
      </c>
      <c r="B3" s="36" t="s">
        <v>8</v>
      </c>
      <c r="C3" s="36" t="s">
        <v>9</v>
      </c>
      <c r="D3" s="36" t="s">
        <v>9</v>
      </c>
      <c r="E3" s="36" t="s">
        <v>12</v>
      </c>
      <c r="F3" s="36" t="s">
        <v>14</v>
      </c>
      <c r="G3" s="36" t="s">
        <v>15</v>
      </c>
      <c r="H3" s="36" t="s">
        <v>16</v>
      </c>
      <c r="I3" s="36" t="s">
        <v>18</v>
      </c>
      <c r="J3" s="36" t="s">
        <v>339</v>
      </c>
      <c r="K3" s="36" t="s">
        <v>16</v>
      </c>
      <c r="L3" s="36" t="s">
        <v>14</v>
      </c>
      <c r="M3" s="36" t="s">
        <v>24</v>
      </c>
      <c r="N3" s="36" t="s">
        <v>25</v>
      </c>
      <c r="O3" s="36" t="s">
        <v>26</v>
      </c>
      <c r="P3" s="36" t="s">
        <v>27</v>
      </c>
    </row>
    <row r="4" spans="1:16" s="39" customFormat="1">
      <c r="A4" s="38"/>
      <c r="B4" s="38"/>
      <c r="C4" s="38" t="s">
        <v>10</v>
      </c>
      <c r="D4" s="38" t="s">
        <v>11</v>
      </c>
      <c r="E4" s="38" t="s">
        <v>13</v>
      </c>
      <c r="F4" s="38" t="s">
        <v>13</v>
      </c>
      <c r="G4" s="38"/>
      <c r="H4" s="38" t="s">
        <v>17</v>
      </c>
      <c r="I4" s="38"/>
      <c r="J4" s="38" t="s">
        <v>19</v>
      </c>
      <c r="K4" s="38" t="s">
        <v>22</v>
      </c>
      <c r="L4" s="38"/>
      <c r="M4" s="38"/>
      <c r="N4" s="38"/>
      <c r="O4" s="38"/>
      <c r="P4" s="38"/>
    </row>
    <row r="5" spans="1:16" s="35" customFormat="1">
      <c r="A5" s="32"/>
      <c r="B5" s="32"/>
      <c r="C5" s="32"/>
      <c r="D5" s="32"/>
      <c r="E5" s="32"/>
      <c r="F5" s="32"/>
      <c r="G5" s="32"/>
      <c r="H5" s="32"/>
      <c r="I5" s="32"/>
      <c r="J5" s="32" t="s">
        <v>20</v>
      </c>
      <c r="K5" s="32" t="s">
        <v>23</v>
      </c>
      <c r="L5" s="32"/>
      <c r="M5" s="32"/>
      <c r="N5" s="32"/>
      <c r="O5" s="32"/>
      <c r="P5" s="32"/>
    </row>
    <row r="6" spans="1:16" s="35" customFormat="1" ht="27.6">
      <c r="A6" s="32"/>
      <c r="B6" s="32"/>
      <c r="C6" s="32"/>
      <c r="D6" s="32"/>
      <c r="E6" s="32"/>
      <c r="F6" s="32"/>
      <c r="G6" s="32"/>
      <c r="H6" s="32"/>
      <c r="I6" s="32"/>
      <c r="J6" s="32" t="s">
        <v>21</v>
      </c>
      <c r="K6" s="32"/>
      <c r="L6" s="32"/>
      <c r="M6" s="32"/>
      <c r="N6" s="32"/>
      <c r="O6" s="32"/>
      <c r="P6" s="32"/>
    </row>
    <row r="7" spans="1:16" ht="13.2" customHeight="1">
      <c r="A7" s="40" t="s">
        <v>28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>
      <c r="A8" s="42">
        <v>2010</v>
      </c>
      <c r="B8" s="43">
        <v>1847290</v>
      </c>
      <c r="C8" s="43">
        <v>23337</v>
      </c>
      <c r="D8" s="43">
        <v>13724</v>
      </c>
      <c r="E8" s="43">
        <v>987697</v>
      </c>
      <c r="F8" s="43">
        <v>11313</v>
      </c>
      <c r="G8" s="43">
        <v>806968</v>
      </c>
      <c r="H8" s="43">
        <v>260203</v>
      </c>
      <c r="I8" s="43">
        <v>1212</v>
      </c>
      <c r="J8" s="43">
        <v>165961</v>
      </c>
      <c r="K8" s="43">
        <v>-5501</v>
      </c>
      <c r="L8" s="43">
        <v>12855</v>
      </c>
      <c r="M8" s="43">
        <v>4125060</v>
      </c>
      <c r="N8" s="44" t="s">
        <v>29</v>
      </c>
      <c r="O8" s="44" t="s">
        <v>29</v>
      </c>
      <c r="P8" s="44" t="s">
        <v>29</v>
      </c>
    </row>
    <row r="9" spans="1:16">
      <c r="A9" s="42">
        <v>2011</v>
      </c>
      <c r="B9" s="43">
        <v>1733430</v>
      </c>
      <c r="C9" s="43">
        <v>16086</v>
      </c>
      <c r="D9" s="43">
        <v>14096</v>
      </c>
      <c r="E9" s="43">
        <v>1013689</v>
      </c>
      <c r="F9" s="43">
        <v>11566</v>
      </c>
      <c r="G9" s="43">
        <v>790204</v>
      </c>
      <c r="H9" s="43">
        <v>319355</v>
      </c>
      <c r="I9" s="43">
        <v>1818</v>
      </c>
      <c r="J9" s="43">
        <v>192163</v>
      </c>
      <c r="K9" s="43">
        <v>-6421</v>
      </c>
      <c r="L9" s="43">
        <v>14154</v>
      </c>
      <c r="M9" s="43">
        <v>4100141</v>
      </c>
      <c r="N9" s="44" t="s">
        <v>29</v>
      </c>
      <c r="O9" s="44" t="s">
        <v>29</v>
      </c>
      <c r="P9" s="44" t="s">
        <v>29</v>
      </c>
    </row>
    <row r="10" spans="1:16">
      <c r="A10" s="42">
        <v>2012</v>
      </c>
      <c r="B10" s="43">
        <v>1514043</v>
      </c>
      <c r="C10" s="43">
        <v>13403</v>
      </c>
      <c r="D10" s="43">
        <v>9787</v>
      </c>
      <c r="E10" s="43">
        <v>1225894</v>
      </c>
      <c r="F10" s="43">
        <v>11898</v>
      </c>
      <c r="G10" s="43">
        <v>769331</v>
      </c>
      <c r="H10" s="43">
        <v>276240</v>
      </c>
      <c r="I10" s="43">
        <v>4327</v>
      </c>
      <c r="J10" s="43">
        <v>214006</v>
      </c>
      <c r="K10" s="43">
        <v>-4950</v>
      </c>
      <c r="L10" s="43">
        <v>13787</v>
      </c>
      <c r="M10" s="43">
        <v>4047765</v>
      </c>
      <c r="N10" s="44" t="s">
        <v>29</v>
      </c>
      <c r="O10" s="44" t="s">
        <v>29</v>
      </c>
      <c r="P10" s="44" t="s">
        <v>29</v>
      </c>
    </row>
    <row r="11" spans="1:16">
      <c r="A11" s="42">
        <v>2013</v>
      </c>
      <c r="B11" s="43">
        <v>1581115</v>
      </c>
      <c r="C11" s="43">
        <v>13820</v>
      </c>
      <c r="D11" s="43">
        <v>13344</v>
      </c>
      <c r="E11" s="43">
        <v>1124836</v>
      </c>
      <c r="F11" s="43">
        <v>12853</v>
      </c>
      <c r="G11" s="43">
        <v>789016</v>
      </c>
      <c r="H11" s="43">
        <v>268565</v>
      </c>
      <c r="I11" s="43">
        <v>9036</v>
      </c>
      <c r="J11" s="43">
        <v>244472</v>
      </c>
      <c r="K11" s="43">
        <v>-4681</v>
      </c>
      <c r="L11" s="43">
        <v>13588</v>
      </c>
      <c r="M11" s="43">
        <v>4065964</v>
      </c>
      <c r="N11" s="44" t="s">
        <v>29</v>
      </c>
      <c r="O11" s="44" t="s">
        <v>29</v>
      </c>
      <c r="P11" s="44" t="s">
        <v>29</v>
      </c>
    </row>
    <row r="12" spans="1:16">
      <c r="A12" s="42">
        <v>2014</v>
      </c>
      <c r="B12" s="43">
        <v>1581710</v>
      </c>
      <c r="C12" s="43">
        <v>18276</v>
      </c>
      <c r="D12" s="43">
        <v>11955</v>
      </c>
      <c r="E12" s="43">
        <v>1126609</v>
      </c>
      <c r="F12" s="43">
        <v>12022</v>
      </c>
      <c r="G12" s="43">
        <v>797166</v>
      </c>
      <c r="H12" s="43">
        <v>259367</v>
      </c>
      <c r="I12" s="43">
        <v>17691</v>
      </c>
      <c r="J12" s="43">
        <v>261522</v>
      </c>
      <c r="K12" s="43">
        <v>-6174</v>
      </c>
      <c r="L12" s="43">
        <v>13461</v>
      </c>
      <c r="M12" s="43">
        <v>4093606</v>
      </c>
      <c r="N12" s="43">
        <v>11233</v>
      </c>
      <c r="O12" s="43">
        <v>26482</v>
      </c>
      <c r="P12" s="43">
        <v>28924</v>
      </c>
    </row>
    <row r="13" spans="1:16">
      <c r="A13" s="42">
        <v>2015</v>
      </c>
      <c r="B13" s="43">
        <v>1352398</v>
      </c>
      <c r="C13" s="43">
        <v>17372</v>
      </c>
      <c r="D13" s="43">
        <v>10877</v>
      </c>
      <c r="E13" s="43">
        <v>1333482</v>
      </c>
      <c r="F13" s="43">
        <v>13117</v>
      </c>
      <c r="G13" s="43">
        <v>797178</v>
      </c>
      <c r="H13" s="43">
        <v>249080</v>
      </c>
      <c r="I13" s="43">
        <v>24893</v>
      </c>
      <c r="J13" s="43">
        <v>270268</v>
      </c>
      <c r="K13" s="43">
        <v>-5091</v>
      </c>
      <c r="L13" s="43">
        <v>14028</v>
      </c>
      <c r="M13" s="43">
        <v>4077601</v>
      </c>
      <c r="N13" s="43">
        <v>14139</v>
      </c>
      <c r="O13" s="43">
        <v>35805</v>
      </c>
      <c r="P13" s="43">
        <v>39032</v>
      </c>
    </row>
    <row r="14" spans="1:16">
      <c r="A14" s="42">
        <v>2016</v>
      </c>
      <c r="B14" s="43">
        <v>1239149</v>
      </c>
      <c r="C14" s="43">
        <v>13008</v>
      </c>
      <c r="D14" s="43">
        <v>11197</v>
      </c>
      <c r="E14" s="43">
        <v>1378307</v>
      </c>
      <c r="F14" s="43">
        <v>12807</v>
      </c>
      <c r="G14" s="43">
        <v>805694</v>
      </c>
      <c r="H14" s="43">
        <v>267812</v>
      </c>
      <c r="I14" s="43">
        <v>36054</v>
      </c>
      <c r="J14" s="43">
        <v>305579</v>
      </c>
      <c r="K14" s="43">
        <v>-6686</v>
      </c>
      <c r="L14" s="43">
        <v>13754</v>
      </c>
      <c r="M14" s="43">
        <v>4076675</v>
      </c>
      <c r="N14" s="43">
        <v>18812</v>
      </c>
      <c r="O14" s="43">
        <v>51483</v>
      </c>
      <c r="P14" s="43">
        <v>54866</v>
      </c>
    </row>
    <row r="15" spans="1:16">
      <c r="A15" s="42">
        <v>2017</v>
      </c>
      <c r="B15" s="43">
        <v>1205835</v>
      </c>
      <c r="C15" s="43">
        <v>12414</v>
      </c>
      <c r="D15" s="43">
        <v>8976</v>
      </c>
      <c r="E15" s="43">
        <v>1296442</v>
      </c>
      <c r="F15" s="43">
        <v>12469</v>
      </c>
      <c r="G15" s="43">
        <v>804950</v>
      </c>
      <c r="H15" s="43">
        <v>300333</v>
      </c>
      <c r="I15" s="43">
        <v>53287</v>
      </c>
      <c r="J15" s="43">
        <v>332963</v>
      </c>
      <c r="K15" s="43">
        <v>-6495</v>
      </c>
      <c r="L15" s="43">
        <v>13096</v>
      </c>
      <c r="M15" s="43">
        <v>4034271</v>
      </c>
      <c r="N15" s="43">
        <v>23990</v>
      </c>
      <c r="O15" s="43">
        <v>74008</v>
      </c>
      <c r="P15" s="43">
        <v>77277</v>
      </c>
    </row>
    <row r="16" spans="1:16" s="47" customFormat="1">
      <c r="A16" s="45">
        <v>2018</v>
      </c>
      <c r="B16" s="46">
        <v>1149487</v>
      </c>
      <c r="C16" s="46">
        <v>16245</v>
      </c>
      <c r="D16" s="46">
        <v>8981</v>
      </c>
      <c r="E16" s="46">
        <v>1469133</v>
      </c>
      <c r="F16" s="46">
        <v>13463</v>
      </c>
      <c r="G16" s="46">
        <v>807084</v>
      </c>
      <c r="H16" s="46">
        <v>292524</v>
      </c>
      <c r="I16" s="46">
        <v>63825</v>
      </c>
      <c r="J16" s="46">
        <v>350467</v>
      </c>
      <c r="K16" s="46">
        <v>-5905</v>
      </c>
      <c r="L16" s="46">
        <v>12973</v>
      </c>
      <c r="M16" s="46">
        <v>4178277</v>
      </c>
      <c r="N16" s="46">
        <v>29539</v>
      </c>
      <c r="O16" s="46">
        <v>89773</v>
      </c>
      <c r="P16" s="46">
        <v>93365</v>
      </c>
    </row>
    <row r="17" spans="1:16">
      <c r="A17" s="42">
        <v>2019</v>
      </c>
      <c r="B17" s="43">
        <v>966148</v>
      </c>
      <c r="C17" s="43">
        <v>11576</v>
      </c>
      <c r="D17" s="43">
        <v>6991</v>
      </c>
      <c r="E17" s="43">
        <v>1581815</v>
      </c>
      <c r="F17" s="43">
        <v>13634</v>
      </c>
      <c r="G17" s="43">
        <v>809409</v>
      </c>
      <c r="H17" s="43">
        <v>273707</v>
      </c>
      <c r="I17" s="43">
        <v>72234</v>
      </c>
      <c r="J17" s="43">
        <v>374494</v>
      </c>
      <c r="K17" s="43">
        <v>-5261</v>
      </c>
      <c r="L17" s="43">
        <v>13302</v>
      </c>
      <c r="M17" s="43">
        <v>4118051</v>
      </c>
      <c r="N17" s="43">
        <v>35041</v>
      </c>
      <c r="O17" s="43">
        <v>104057</v>
      </c>
      <c r="P17" s="43">
        <v>107275</v>
      </c>
    </row>
    <row r="18" spans="1:16">
      <c r="A18" s="469"/>
      <c r="B18" s="469"/>
      <c r="C18" s="469"/>
      <c r="D18" s="469"/>
      <c r="E18" s="469"/>
      <c r="F18" s="469"/>
      <c r="G18" s="469"/>
      <c r="H18" s="469"/>
      <c r="I18" s="469"/>
      <c r="J18" s="469"/>
      <c r="K18" s="469"/>
      <c r="L18" s="469"/>
      <c r="M18" s="469"/>
      <c r="N18" s="469"/>
      <c r="O18" s="469"/>
      <c r="P18" s="469"/>
    </row>
    <row r="21" spans="1:16" s="49" customFormat="1">
      <c r="A21" s="34"/>
      <c r="B21" s="48" t="s">
        <v>73</v>
      </c>
      <c r="C21" s="33" t="s">
        <v>74</v>
      </c>
      <c r="D21" s="34"/>
      <c r="E21" s="34"/>
      <c r="F21" s="49" t="s">
        <v>81</v>
      </c>
    </row>
    <row r="22" spans="1:16" ht="27.6">
      <c r="A22" s="32"/>
      <c r="B22" s="32" t="s">
        <v>75</v>
      </c>
      <c r="C22" s="32" t="s">
        <v>70</v>
      </c>
      <c r="D22" s="32" t="s">
        <v>76</v>
      </c>
      <c r="E22" s="32" t="s">
        <v>77</v>
      </c>
      <c r="F22" s="53" t="s">
        <v>82</v>
      </c>
    </row>
    <row r="23" spans="1:16">
      <c r="A23" s="44" t="s">
        <v>8</v>
      </c>
      <c r="B23" s="43">
        <v>1124638</v>
      </c>
      <c r="C23" s="43">
        <v>1127</v>
      </c>
      <c r="D23" s="43">
        <v>1240</v>
      </c>
      <c r="E23" s="44">
        <v>2.21</v>
      </c>
      <c r="F23" s="52">
        <f>C23/B23</f>
        <v>1.0021002313633364E-3</v>
      </c>
    </row>
    <row r="24" spans="1:16">
      <c r="A24" s="44" t="s">
        <v>78</v>
      </c>
      <c r="B24" s="43">
        <v>1246847</v>
      </c>
      <c r="C24" s="44">
        <v>523</v>
      </c>
      <c r="D24" s="44">
        <v>575</v>
      </c>
      <c r="E24" s="44">
        <v>0.92</v>
      </c>
      <c r="F24" s="52">
        <f t="shared" ref="F24:F25" si="0">C24/B24</f>
        <v>4.1945804096252389E-4</v>
      </c>
    </row>
    <row r="25" spans="1:16">
      <c r="A25" s="44" t="s">
        <v>9</v>
      </c>
      <c r="B25" s="43">
        <v>21860</v>
      </c>
      <c r="C25" s="44">
        <v>21</v>
      </c>
      <c r="D25" s="44">
        <v>23</v>
      </c>
      <c r="E25" s="44">
        <v>2.11</v>
      </c>
      <c r="F25" s="52">
        <f t="shared" si="0"/>
        <v>9.6065873741994507E-4</v>
      </c>
    </row>
    <row r="26" spans="1:16" ht="13.2" customHeight="1">
      <c r="A26" s="51" t="s">
        <v>79</v>
      </c>
      <c r="B26" s="51"/>
      <c r="C26" s="51"/>
      <c r="D26" s="51"/>
      <c r="E26" s="51"/>
      <c r="F26" s="51"/>
      <c r="G26" s="51"/>
    </row>
    <row r="27" spans="1:16" ht="18.600000000000001" customHeight="1">
      <c r="A27" s="51" t="s">
        <v>80</v>
      </c>
      <c r="B27" s="51"/>
      <c r="C27" s="51"/>
      <c r="D27" s="51"/>
      <c r="E27" s="51"/>
      <c r="F27" s="51"/>
      <c r="G27" s="51"/>
    </row>
    <row r="28" spans="1:16">
      <c r="A28" s="50"/>
      <c r="B28" s="50"/>
      <c r="C28" s="50"/>
      <c r="D28" s="50"/>
      <c r="E28" s="50"/>
      <c r="F28" s="50"/>
      <c r="G28" s="50"/>
    </row>
  </sheetData>
  <mergeCells count="1">
    <mergeCell ref="A18:P18"/>
  </mergeCells>
  <hyperlinks>
    <hyperlink ref="A26" r:id="rId1" display="https://www.eia.gov/tools/glossary/index.php?id=Net%20generation" xr:uid="{00000000-0004-0000-0100-000000000000}"/>
    <hyperlink ref="A27" r:id="rId2" display="https://www.eia.gov/tools/glossary/index.php?id=Combined%20heat%20and%20power%20(CHP)%20plant" xr:uid="{00000000-0004-0000-0100-000001000000}"/>
  </hyperlinks>
  <pageMargins left="0.7" right="0.7" top="0.75" bottom="0.75" header="0.3" footer="0.3"/>
  <pageSetup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Q1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3.2"/>
  <cols>
    <col min="1" max="1" width="39.44140625" style="4" customWidth="1"/>
    <col min="2" max="7" width="6.33203125" style="275" customWidth="1"/>
    <col min="8" max="8" width="10.88671875" style="55" customWidth="1"/>
    <col min="10" max="10" width="13.109375" bestFit="1" customWidth="1"/>
  </cols>
  <sheetData>
    <row r="1" spans="1:11" s="2" customFormat="1">
      <c r="A1" s="11" t="s">
        <v>421</v>
      </c>
      <c r="B1" s="275">
        <v>1990</v>
      </c>
      <c r="C1" s="275">
        <v>2005</v>
      </c>
      <c r="D1" s="275">
        <v>2014</v>
      </c>
      <c r="E1" s="275">
        <f>D1+1</f>
        <v>2015</v>
      </c>
      <c r="F1" s="275">
        <f t="shared" ref="F1:H1" si="0">E1+1</f>
        <v>2016</v>
      </c>
      <c r="G1" s="275">
        <f t="shared" si="0"/>
        <v>2017</v>
      </c>
      <c r="H1" s="309">
        <f t="shared" si="0"/>
        <v>2018</v>
      </c>
    </row>
    <row r="2" spans="1:11">
      <c r="A2" s="12" t="s">
        <v>38</v>
      </c>
      <c r="B2" s="276">
        <v>30976</v>
      </c>
      <c r="C2" s="276">
        <v>27182</v>
      </c>
      <c r="D2" s="276">
        <v>25560</v>
      </c>
      <c r="E2" s="276">
        <v>25539</v>
      </c>
      <c r="F2" s="276">
        <v>24970</v>
      </c>
      <c r="G2" s="276">
        <v>25212</v>
      </c>
      <c r="H2" s="303">
        <v>25378</v>
      </c>
      <c r="J2" s="2" t="s">
        <v>100</v>
      </c>
    </row>
    <row r="3" spans="1:11">
      <c r="A3" s="13" t="s">
        <v>39</v>
      </c>
      <c r="B3" s="276">
        <v>6566</v>
      </c>
      <c r="C3" s="276">
        <v>6755</v>
      </c>
      <c r="D3" s="276">
        <v>6567</v>
      </c>
      <c r="E3" s="276">
        <v>6660</v>
      </c>
      <c r="F3" s="276">
        <v>6874</v>
      </c>
      <c r="G3" s="276">
        <v>7016</v>
      </c>
      <c r="H3" s="304">
        <v>7103</v>
      </c>
      <c r="J3" t="s">
        <v>419</v>
      </c>
    </row>
    <row r="4" spans="1:11" s="24" customFormat="1">
      <c r="A4" s="22" t="s">
        <v>40</v>
      </c>
      <c r="B4" s="277">
        <v>7332</v>
      </c>
      <c r="C4" s="277">
        <v>6324</v>
      </c>
      <c r="D4" s="277">
        <v>5643</v>
      </c>
      <c r="E4" s="277">
        <v>5674</v>
      </c>
      <c r="F4" s="277">
        <v>5433</v>
      </c>
      <c r="G4" s="277">
        <v>5570</v>
      </c>
      <c r="H4" s="305">
        <v>5598</v>
      </c>
      <c r="I4" s="23"/>
    </row>
    <row r="5" spans="1:11">
      <c r="A5" s="13" t="s">
        <v>41</v>
      </c>
      <c r="B5" s="276">
        <v>7182</v>
      </c>
      <c r="C5" s="276">
        <v>5253</v>
      </c>
      <c r="D5" s="276">
        <v>4503</v>
      </c>
      <c r="E5" s="276">
        <v>4452</v>
      </c>
      <c r="F5" s="276">
        <v>4322</v>
      </c>
      <c r="G5" s="276">
        <v>4308</v>
      </c>
      <c r="H5" s="304">
        <v>4422</v>
      </c>
    </row>
    <row r="6" spans="1:11">
      <c r="A6" s="13" t="s">
        <v>42</v>
      </c>
      <c r="B6" s="276">
        <v>1485</v>
      </c>
      <c r="C6" s="276">
        <v>2062</v>
      </c>
      <c r="D6" s="276">
        <v>2172</v>
      </c>
      <c r="E6" s="276">
        <v>2316</v>
      </c>
      <c r="F6" s="276">
        <v>2385</v>
      </c>
      <c r="G6" s="276">
        <v>2395</v>
      </c>
      <c r="H6" s="304">
        <v>2467</v>
      </c>
    </row>
    <row r="7" spans="1:11" s="9" customFormat="1">
      <c r="A7" s="15" t="s">
        <v>43</v>
      </c>
      <c r="B7" s="278">
        <v>3860</v>
      </c>
      <c r="C7" s="278">
        <v>2565</v>
      </c>
      <c r="D7" s="278">
        <v>2583</v>
      </c>
      <c r="E7" s="278">
        <v>2449</v>
      </c>
      <c r="F7" s="278">
        <v>2154</v>
      </c>
      <c r="G7" s="278">
        <v>2191</v>
      </c>
      <c r="H7" s="306">
        <v>2109</v>
      </c>
    </row>
    <row r="8" spans="1:11" s="7" customFormat="1">
      <c r="A8" s="14" t="s">
        <v>44</v>
      </c>
      <c r="B8" s="279">
        <v>1844</v>
      </c>
      <c r="C8" s="279">
        <v>1553</v>
      </c>
      <c r="D8" s="279">
        <v>1739</v>
      </c>
      <c r="E8" s="279">
        <v>1622</v>
      </c>
      <c r="F8" s="279">
        <v>1559</v>
      </c>
      <c r="G8" s="279">
        <v>1548</v>
      </c>
      <c r="H8" s="307">
        <v>1449</v>
      </c>
    </row>
    <row r="9" spans="1:11">
      <c r="A9" s="13" t="s">
        <v>45</v>
      </c>
      <c r="B9" s="280">
        <v>614</v>
      </c>
      <c r="C9" s="280">
        <v>618</v>
      </c>
      <c r="D9" s="280">
        <v>573</v>
      </c>
      <c r="E9" s="280">
        <v>583</v>
      </c>
      <c r="F9" s="280">
        <v>575</v>
      </c>
      <c r="G9" s="280">
        <v>566</v>
      </c>
      <c r="H9" s="304">
        <v>569</v>
      </c>
    </row>
    <row r="10" spans="1:11">
      <c r="A10" s="13" t="s">
        <v>46</v>
      </c>
      <c r="B10" s="280">
        <v>640</v>
      </c>
      <c r="C10" s="280">
        <v>720</v>
      </c>
      <c r="D10" s="280">
        <v>616</v>
      </c>
      <c r="E10" s="280">
        <v>648</v>
      </c>
      <c r="F10" s="280">
        <v>539</v>
      </c>
      <c r="G10" s="280">
        <v>510</v>
      </c>
      <c r="H10" s="304">
        <v>533</v>
      </c>
    </row>
    <row r="11" spans="1:11" s="17" customFormat="1">
      <c r="A11" s="16" t="s">
        <v>224</v>
      </c>
      <c r="B11" s="281">
        <v>344</v>
      </c>
      <c r="C11" s="281">
        <v>313</v>
      </c>
      <c r="D11" s="281">
        <v>355</v>
      </c>
      <c r="E11" s="281">
        <v>340</v>
      </c>
      <c r="F11" s="281">
        <v>318</v>
      </c>
      <c r="G11" s="281">
        <v>312</v>
      </c>
      <c r="H11" s="308">
        <v>346</v>
      </c>
    </row>
    <row r="12" spans="1:11" s="17" customFormat="1">
      <c r="A12" s="16" t="s">
        <v>225</v>
      </c>
      <c r="B12" s="281">
        <v>263</v>
      </c>
      <c r="C12" s="281">
        <v>278</v>
      </c>
      <c r="D12" s="281">
        <v>284</v>
      </c>
      <c r="E12" s="281">
        <v>286</v>
      </c>
      <c r="F12" s="281">
        <v>289</v>
      </c>
      <c r="G12" s="281">
        <v>282</v>
      </c>
      <c r="H12" s="308">
        <v>281</v>
      </c>
    </row>
    <row r="13" spans="1:11" s="9" customFormat="1">
      <c r="A13" s="15" t="s">
        <v>47</v>
      </c>
      <c r="B13" s="282">
        <v>288</v>
      </c>
      <c r="C13" s="282">
        <v>264</v>
      </c>
      <c r="D13" s="282">
        <v>253</v>
      </c>
      <c r="E13" s="282">
        <v>256</v>
      </c>
      <c r="F13" s="282">
        <v>268</v>
      </c>
      <c r="G13" s="282">
        <v>257</v>
      </c>
      <c r="H13" s="306">
        <v>247</v>
      </c>
    </row>
    <row r="14" spans="1:11" ht="13.8">
      <c r="A14" s="8"/>
    </row>
    <row r="15" spans="1:11" s="165" customFormat="1" ht="52.8">
      <c r="A15" s="165" t="s">
        <v>48</v>
      </c>
      <c r="B15" s="283"/>
      <c r="C15" s="283"/>
      <c r="D15" s="283"/>
      <c r="E15" s="283"/>
      <c r="F15" s="283"/>
      <c r="G15" s="283"/>
      <c r="H15" s="179" t="s">
        <v>98</v>
      </c>
      <c r="I15" s="165" t="s">
        <v>111</v>
      </c>
      <c r="J15" s="165" t="s">
        <v>112</v>
      </c>
    </row>
    <row r="16" spans="1:11">
      <c r="A16" s="10" t="s">
        <v>222</v>
      </c>
      <c r="H16" s="55">
        <f>I16*1000/25</f>
        <v>344</v>
      </c>
      <c r="I16">
        <v>8.6</v>
      </c>
      <c r="K16" s="3" t="s">
        <v>49</v>
      </c>
    </row>
    <row r="17" spans="1:17">
      <c r="A17" s="10" t="s">
        <v>50</v>
      </c>
      <c r="I17">
        <v>1.2</v>
      </c>
    </row>
    <row r="18" spans="1:17">
      <c r="A18" s="10" t="s">
        <v>51</v>
      </c>
      <c r="H18" s="55">
        <f>I18*1000/25</f>
        <v>8</v>
      </c>
      <c r="I18">
        <v>0.2</v>
      </c>
      <c r="J18">
        <v>20.3</v>
      </c>
      <c r="K18" s="3" t="s">
        <v>113</v>
      </c>
    </row>
    <row r="19" spans="1:17">
      <c r="A19" s="10" t="s">
        <v>52</v>
      </c>
      <c r="H19" s="55">
        <f>I19*1000/25</f>
        <v>40</v>
      </c>
      <c r="I19" s="55">
        <v>1</v>
      </c>
      <c r="J19">
        <v>4.0999999999999996</v>
      </c>
    </row>
    <row r="20" spans="1:17">
      <c r="A20" s="10" t="s">
        <v>103</v>
      </c>
      <c r="H20" s="55">
        <f>I20*1000/25</f>
        <v>0</v>
      </c>
      <c r="I20">
        <v>0</v>
      </c>
      <c r="J20">
        <v>0</v>
      </c>
    </row>
    <row r="21" spans="1:17">
      <c r="J21" s="3" t="s">
        <v>57</v>
      </c>
    </row>
    <row r="22" spans="1:17">
      <c r="A22" s="18" t="s">
        <v>53</v>
      </c>
    </row>
    <row r="23" spans="1:17" s="7" customFormat="1" ht="13.8">
      <c r="A23" s="20" t="s">
        <v>54</v>
      </c>
      <c r="B23" s="284"/>
      <c r="C23" s="284"/>
      <c r="D23" s="284"/>
      <c r="E23" s="284"/>
      <c r="F23" s="284"/>
      <c r="G23" s="284"/>
      <c r="H23" s="180">
        <v>226.65199999999999</v>
      </c>
      <c r="J23" s="21">
        <v>4599</v>
      </c>
      <c r="K23" s="26" t="s">
        <v>99</v>
      </c>
    </row>
    <row r="24" spans="1:17" s="24" customFormat="1" ht="13.8">
      <c r="A24" s="25" t="s">
        <v>55</v>
      </c>
      <c r="B24" s="285"/>
      <c r="C24" s="285"/>
      <c r="D24" s="285"/>
      <c r="E24" s="285"/>
      <c r="F24" s="285"/>
      <c r="G24" s="285"/>
      <c r="H24" s="181">
        <v>54.462000000000003</v>
      </c>
      <c r="J24" s="19">
        <v>2387</v>
      </c>
      <c r="K24" s="27" t="s">
        <v>56</v>
      </c>
    </row>
    <row r="26" spans="1:17" ht="13.8">
      <c r="A26" s="28"/>
    </row>
    <row r="27" spans="1:17" s="175" customFormat="1" ht="13.8">
      <c r="A27" s="174" t="s">
        <v>223</v>
      </c>
      <c r="B27" s="286"/>
      <c r="C27" s="286"/>
      <c r="D27" s="286"/>
      <c r="E27" s="286"/>
      <c r="F27" s="286"/>
      <c r="G27" s="286"/>
      <c r="H27" s="182"/>
      <c r="I27" s="174" t="s">
        <v>68</v>
      </c>
    </row>
    <row r="28" spans="1:17" s="175" customFormat="1" ht="41.4">
      <c r="A28" s="174" t="s">
        <v>58</v>
      </c>
      <c r="B28" s="286"/>
      <c r="C28" s="286"/>
      <c r="D28" s="286"/>
      <c r="E28" s="286"/>
      <c r="F28" s="286"/>
      <c r="G28" s="286"/>
      <c r="H28" s="182"/>
      <c r="I28" s="176" t="s">
        <v>66</v>
      </c>
      <c r="J28" s="176" t="s">
        <v>285</v>
      </c>
      <c r="K28" s="175" t="s">
        <v>69</v>
      </c>
      <c r="Q28" s="175" t="s">
        <v>67</v>
      </c>
    </row>
    <row r="29" spans="1:17" s="175" customFormat="1" ht="13.8">
      <c r="B29" s="286"/>
      <c r="C29" s="286"/>
      <c r="D29" s="286"/>
      <c r="E29" s="286"/>
      <c r="F29" s="286"/>
      <c r="G29" s="286"/>
      <c r="H29" s="182"/>
      <c r="I29" s="176"/>
      <c r="J29" s="176"/>
    </row>
    <row r="30" spans="1:17" s="175" customFormat="1" ht="13.8">
      <c r="A30" s="177" t="s">
        <v>59</v>
      </c>
      <c r="B30" s="287"/>
      <c r="C30" s="287"/>
      <c r="D30" s="287"/>
      <c r="E30" s="287"/>
      <c r="F30" s="287"/>
      <c r="G30" s="287"/>
      <c r="H30" s="183"/>
      <c r="I30" s="177">
        <v>7.6</v>
      </c>
      <c r="J30" s="177">
        <v>3.5</v>
      </c>
      <c r="K30" s="175">
        <f>(I30-J30)*1000</f>
        <v>4100</v>
      </c>
    </row>
    <row r="31" spans="1:17" s="175" customFormat="1" ht="13.8">
      <c r="A31" s="177" t="s">
        <v>60</v>
      </c>
      <c r="B31" s="287"/>
      <c r="C31" s="287"/>
      <c r="D31" s="287"/>
      <c r="E31" s="287"/>
      <c r="F31" s="287"/>
      <c r="G31" s="287"/>
      <c r="H31" s="183"/>
      <c r="I31" s="177">
        <v>2.6</v>
      </c>
      <c r="J31" s="177">
        <v>2.2999999999999998</v>
      </c>
      <c r="K31" s="175">
        <f t="shared" ref="K31:K37" si="1">(I31-J31)*1000</f>
        <v>300.00000000000028</v>
      </c>
    </row>
    <row r="32" spans="1:17" s="175" customFormat="1" ht="13.8">
      <c r="A32" s="177" t="s">
        <v>61</v>
      </c>
      <c r="B32" s="287"/>
      <c r="C32" s="287"/>
      <c r="D32" s="287"/>
      <c r="E32" s="287"/>
      <c r="F32" s="287"/>
      <c r="G32" s="287"/>
      <c r="H32" s="183"/>
      <c r="I32" s="177">
        <v>0.72</v>
      </c>
      <c r="J32" s="177">
        <v>0.44</v>
      </c>
      <c r="K32" s="175">
        <f t="shared" si="1"/>
        <v>279.99999999999994</v>
      </c>
    </row>
    <row r="33" spans="1:11" s="175" customFormat="1" ht="13.8">
      <c r="A33" s="177" t="s">
        <v>62</v>
      </c>
      <c r="B33" s="287"/>
      <c r="C33" s="287"/>
      <c r="D33" s="287"/>
      <c r="E33" s="287"/>
      <c r="F33" s="287"/>
      <c r="G33" s="287"/>
      <c r="H33" s="183"/>
      <c r="I33" s="177">
        <v>1.8</v>
      </c>
      <c r="J33" s="177">
        <v>1.4</v>
      </c>
      <c r="K33" s="175">
        <f t="shared" si="1"/>
        <v>400.00000000000011</v>
      </c>
    </row>
    <row r="34" spans="1:11" s="175" customFormat="1" ht="13.8">
      <c r="A34" s="177" t="s">
        <v>63</v>
      </c>
      <c r="B34" s="288"/>
      <c r="C34" s="288"/>
      <c r="D34" s="288"/>
      <c r="E34" s="288"/>
      <c r="F34" s="288"/>
      <c r="G34" s="288"/>
      <c r="H34" s="184"/>
      <c r="I34" s="177">
        <v>0.44</v>
      </c>
      <c r="J34" s="177">
        <v>0.44</v>
      </c>
      <c r="K34" s="175">
        <f t="shared" si="1"/>
        <v>0</v>
      </c>
    </row>
    <row r="35" spans="1:11" s="175" customFormat="1" ht="13.8">
      <c r="A35" s="177" t="s">
        <v>64</v>
      </c>
      <c r="B35" s="288"/>
      <c r="C35" s="288"/>
      <c r="D35" s="288"/>
      <c r="E35" s="288"/>
      <c r="F35" s="288"/>
      <c r="G35" s="288"/>
      <c r="H35" s="184"/>
      <c r="I35" s="177">
        <v>3.4000000000000002E-2</v>
      </c>
      <c r="J35" s="177">
        <v>3.4000000000000002E-2</v>
      </c>
      <c r="K35" s="175">
        <f t="shared" si="1"/>
        <v>0</v>
      </c>
    </row>
    <row r="36" spans="1:11" s="175" customFormat="1" ht="13.8">
      <c r="A36" s="177" t="s">
        <v>65</v>
      </c>
      <c r="B36" s="288"/>
      <c r="C36" s="288"/>
      <c r="D36" s="288"/>
      <c r="E36" s="288"/>
      <c r="F36" s="288"/>
      <c r="G36" s="288"/>
      <c r="H36" s="184"/>
      <c r="I36" s="177">
        <v>13</v>
      </c>
      <c r="J36" s="177">
        <v>8.1</v>
      </c>
      <c r="K36" s="175">
        <f t="shared" si="1"/>
        <v>4900</v>
      </c>
    </row>
    <row r="37" spans="1:11">
      <c r="A37"/>
      <c r="I37">
        <f>SUM(I30:I35)</f>
        <v>13.194000000000001</v>
      </c>
      <c r="J37">
        <f t="shared" ref="J37" si="2">SUM(J30:J35)</f>
        <v>8.1140000000000008</v>
      </c>
      <c r="K37">
        <f t="shared" si="1"/>
        <v>5080</v>
      </c>
    </row>
    <row r="38" spans="1:11">
      <c r="A38" s="11" t="s">
        <v>289</v>
      </c>
    </row>
    <row r="39" spans="1:11" ht="13.8">
      <c r="A39" s="166" t="s">
        <v>252</v>
      </c>
      <c r="B39" s="310">
        <v>1990</v>
      </c>
      <c r="C39" s="310">
        <v>2005</v>
      </c>
      <c r="D39" s="310">
        <v>2014</v>
      </c>
      <c r="E39" s="310">
        <v>2015</v>
      </c>
      <c r="F39" s="310">
        <v>2016</v>
      </c>
      <c r="G39" s="310">
        <v>2017</v>
      </c>
      <c r="H39" s="215">
        <v>2018</v>
      </c>
      <c r="J39" s="3" t="s">
        <v>290</v>
      </c>
    </row>
    <row r="40" spans="1:11" ht="13.8">
      <c r="A40" s="166" t="s">
        <v>261</v>
      </c>
      <c r="B40" s="311">
        <v>5128301</v>
      </c>
      <c r="C40" s="311">
        <v>6131893</v>
      </c>
      <c r="D40" s="311">
        <v>5561719</v>
      </c>
      <c r="E40" s="311">
        <v>5412432</v>
      </c>
      <c r="F40" s="311">
        <v>5292268</v>
      </c>
      <c r="G40" s="311">
        <v>5253606</v>
      </c>
      <c r="H40" s="210">
        <v>5424882</v>
      </c>
    </row>
    <row r="41" spans="1:11" ht="13.8">
      <c r="A41" s="167" t="s">
        <v>226</v>
      </c>
      <c r="B41" s="311">
        <v>4740006</v>
      </c>
      <c r="C41" s="311">
        <v>5740660</v>
      </c>
      <c r="D41" s="311">
        <v>5184776</v>
      </c>
      <c r="E41" s="311">
        <v>5031762</v>
      </c>
      <c r="F41" s="311">
        <v>4942421</v>
      </c>
      <c r="G41" s="311">
        <v>4892234</v>
      </c>
      <c r="H41" s="211">
        <v>5031813</v>
      </c>
    </row>
    <row r="42" spans="1:11" ht="13.8">
      <c r="A42" s="168" t="s">
        <v>253</v>
      </c>
      <c r="B42" s="312">
        <v>1469092</v>
      </c>
      <c r="C42" s="312">
        <v>1856113</v>
      </c>
      <c r="D42" s="312">
        <v>1713722</v>
      </c>
      <c r="E42" s="312">
        <v>1725274</v>
      </c>
      <c r="F42" s="312">
        <v>1765307</v>
      </c>
      <c r="G42" s="312">
        <v>1787274</v>
      </c>
      <c r="H42" s="212">
        <v>1820656</v>
      </c>
    </row>
    <row r="43" spans="1:11" ht="13.8">
      <c r="A43" s="168" t="s">
        <v>254</v>
      </c>
      <c r="B43" s="312">
        <v>1819951</v>
      </c>
      <c r="C43" s="312">
        <v>2399974</v>
      </c>
      <c r="D43" s="312">
        <v>2037148</v>
      </c>
      <c r="E43" s="312">
        <v>1900624</v>
      </c>
      <c r="F43" s="312">
        <v>1808863</v>
      </c>
      <c r="G43" s="312">
        <v>1732025</v>
      </c>
      <c r="H43" s="212">
        <v>1752849</v>
      </c>
    </row>
    <row r="44" spans="1:11" ht="13.8">
      <c r="A44" s="168" t="s">
        <v>255</v>
      </c>
      <c r="B44" s="312">
        <v>857009</v>
      </c>
      <c r="C44" s="312">
        <v>850072</v>
      </c>
      <c r="D44" s="312">
        <v>812899</v>
      </c>
      <c r="E44" s="312">
        <v>801260</v>
      </c>
      <c r="F44" s="312">
        <v>801422</v>
      </c>
      <c r="G44" s="312">
        <v>805006</v>
      </c>
      <c r="H44" s="212">
        <v>833207</v>
      </c>
    </row>
    <row r="45" spans="1:11" ht="13.8">
      <c r="A45" s="168" t="s">
        <v>256</v>
      </c>
      <c r="B45" s="312">
        <v>338209</v>
      </c>
      <c r="C45" s="312">
        <v>357934</v>
      </c>
      <c r="D45" s="312">
        <v>346811</v>
      </c>
      <c r="E45" s="312">
        <v>317798</v>
      </c>
      <c r="F45" s="312">
        <v>293148</v>
      </c>
      <c r="G45" s="312">
        <v>293818</v>
      </c>
      <c r="H45" s="212">
        <v>337251</v>
      </c>
    </row>
    <row r="46" spans="1:11" ht="13.8">
      <c r="A46" s="168" t="s">
        <v>257</v>
      </c>
      <c r="B46" s="312">
        <v>228191</v>
      </c>
      <c r="C46" s="312">
        <v>226867</v>
      </c>
      <c r="D46" s="312">
        <v>232835</v>
      </c>
      <c r="E46" s="312">
        <v>245439</v>
      </c>
      <c r="F46" s="312">
        <v>232320</v>
      </c>
      <c r="G46" s="312">
        <v>232756</v>
      </c>
      <c r="H46" s="212">
        <v>246493</v>
      </c>
    </row>
    <row r="47" spans="1:11" ht="13.8">
      <c r="A47" s="168" t="s">
        <v>258</v>
      </c>
      <c r="B47" s="312">
        <v>27555</v>
      </c>
      <c r="C47" s="312">
        <v>49700</v>
      </c>
      <c r="D47" s="312">
        <v>41361</v>
      </c>
      <c r="E47" s="312">
        <v>41367</v>
      </c>
      <c r="F47" s="312">
        <v>41362</v>
      </c>
      <c r="G47" s="312">
        <v>41355</v>
      </c>
      <c r="H47" s="212">
        <v>41357</v>
      </c>
    </row>
    <row r="48" spans="1:11" ht="13.8">
      <c r="A48" s="167" t="s">
        <v>227</v>
      </c>
      <c r="B48" s="311">
        <v>119530</v>
      </c>
      <c r="C48" s="311">
        <v>139707</v>
      </c>
      <c r="D48" s="311">
        <v>120030</v>
      </c>
      <c r="E48" s="311">
        <v>127027</v>
      </c>
      <c r="F48" s="311">
        <v>113651</v>
      </c>
      <c r="G48" s="311">
        <v>123133</v>
      </c>
      <c r="H48" s="211">
        <v>134576</v>
      </c>
    </row>
    <row r="49" spans="1:8" ht="13.8">
      <c r="A49" s="217" t="s">
        <v>228</v>
      </c>
      <c r="B49" s="311">
        <v>104734</v>
      </c>
      <c r="C49" s="311">
        <v>70081</v>
      </c>
      <c r="D49" s="311">
        <v>58187</v>
      </c>
      <c r="E49" s="311">
        <v>47944</v>
      </c>
      <c r="F49" s="311">
        <v>43624</v>
      </c>
      <c r="G49" s="311">
        <v>40576</v>
      </c>
      <c r="H49" s="211">
        <v>42600</v>
      </c>
    </row>
    <row r="50" spans="1:8" ht="13.8">
      <c r="A50" s="167" t="s">
        <v>229</v>
      </c>
      <c r="B50" s="311">
        <v>33484</v>
      </c>
      <c r="C50" s="311">
        <v>46194</v>
      </c>
      <c r="D50" s="311">
        <v>39439</v>
      </c>
      <c r="E50" s="311">
        <v>39907</v>
      </c>
      <c r="F50" s="311">
        <v>39439</v>
      </c>
      <c r="G50" s="311">
        <v>40324</v>
      </c>
      <c r="H50" s="211">
        <v>40324</v>
      </c>
    </row>
    <row r="51" spans="1:8" s="7" customFormat="1" ht="13.8">
      <c r="A51" s="169" t="s">
        <v>230</v>
      </c>
      <c r="B51" s="313">
        <v>9630</v>
      </c>
      <c r="C51" s="313">
        <v>12163</v>
      </c>
      <c r="D51" s="313">
        <v>30536</v>
      </c>
      <c r="E51" s="313">
        <v>32644</v>
      </c>
      <c r="F51" s="313">
        <v>22980</v>
      </c>
      <c r="G51" s="313">
        <v>24472</v>
      </c>
      <c r="H51" s="213">
        <v>36814</v>
      </c>
    </row>
    <row r="52" spans="1:8" s="24" customFormat="1" ht="13.8">
      <c r="A52" s="171" t="s">
        <v>231</v>
      </c>
      <c r="B52" s="314">
        <v>32174</v>
      </c>
      <c r="C52" s="314">
        <v>25291</v>
      </c>
      <c r="D52" s="314">
        <v>29620</v>
      </c>
      <c r="E52" s="314">
        <v>29334</v>
      </c>
      <c r="F52" s="314">
        <v>29862</v>
      </c>
      <c r="G52" s="314">
        <v>30365</v>
      </c>
      <c r="H52" s="214">
        <v>34972</v>
      </c>
    </row>
    <row r="53" spans="1:8" ht="13.8">
      <c r="A53" s="167" t="s">
        <v>232</v>
      </c>
      <c r="B53" s="311">
        <v>21611</v>
      </c>
      <c r="C53" s="311">
        <v>27383</v>
      </c>
      <c r="D53" s="311">
        <v>26254</v>
      </c>
      <c r="E53" s="311">
        <v>28062</v>
      </c>
      <c r="F53" s="311">
        <v>28310</v>
      </c>
      <c r="G53" s="311">
        <v>28910</v>
      </c>
      <c r="H53" s="211">
        <v>29424</v>
      </c>
    </row>
    <row r="54" spans="1:8" ht="13.8">
      <c r="A54" s="167" t="s">
        <v>233</v>
      </c>
      <c r="B54" s="311">
        <v>13047</v>
      </c>
      <c r="C54" s="311">
        <v>9196</v>
      </c>
      <c r="D54" s="311">
        <v>9377</v>
      </c>
      <c r="E54" s="311">
        <v>10634</v>
      </c>
      <c r="F54" s="311">
        <v>10838</v>
      </c>
      <c r="G54" s="311">
        <v>13216</v>
      </c>
      <c r="H54" s="211">
        <v>13532</v>
      </c>
    </row>
    <row r="55" spans="1:8" ht="13.8">
      <c r="A55" s="167" t="s">
        <v>234</v>
      </c>
      <c r="B55" s="311">
        <v>11700</v>
      </c>
      <c r="C55" s="311">
        <v>14552</v>
      </c>
      <c r="D55" s="311">
        <v>14210</v>
      </c>
      <c r="E55" s="311">
        <v>13342</v>
      </c>
      <c r="F55" s="311">
        <v>12630</v>
      </c>
      <c r="G55" s="311">
        <v>12833</v>
      </c>
      <c r="H55" s="211">
        <v>13223</v>
      </c>
    </row>
    <row r="56" spans="1:8" ht="13.8">
      <c r="A56" s="167" t="s">
        <v>235</v>
      </c>
      <c r="B56" s="311">
        <v>7951</v>
      </c>
      <c r="C56" s="311">
        <v>12469</v>
      </c>
      <c r="D56" s="311">
        <v>10435</v>
      </c>
      <c r="E56" s="311">
        <v>10756</v>
      </c>
      <c r="F56" s="311">
        <v>10919</v>
      </c>
      <c r="G56" s="311">
        <v>11111</v>
      </c>
      <c r="H56" s="211">
        <v>11113</v>
      </c>
    </row>
    <row r="57" spans="1:8" ht="13.8">
      <c r="A57" s="167" t="s">
        <v>236</v>
      </c>
      <c r="B57" s="311">
        <v>6297</v>
      </c>
      <c r="C57" s="311">
        <v>7644</v>
      </c>
      <c r="D57" s="311">
        <v>12954</v>
      </c>
      <c r="E57" s="311">
        <v>12182</v>
      </c>
      <c r="F57" s="311">
        <v>10505</v>
      </c>
      <c r="G57" s="311">
        <v>9935</v>
      </c>
      <c r="H57" s="211">
        <v>9954</v>
      </c>
    </row>
    <row r="58" spans="1:8" ht="13.8">
      <c r="A58" s="167" t="s">
        <v>237</v>
      </c>
      <c r="B58" s="311">
        <v>2011</v>
      </c>
      <c r="C58" s="311">
        <v>3150</v>
      </c>
      <c r="D58" s="311">
        <v>3923</v>
      </c>
      <c r="E58" s="311">
        <v>4082</v>
      </c>
      <c r="F58" s="311">
        <v>4041</v>
      </c>
      <c r="G58" s="311">
        <v>4514</v>
      </c>
      <c r="H58" s="211">
        <v>4598</v>
      </c>
    </row>
    <row r="59" spans="1:8" ht="13.8">
      <c r="A59" s="167" t="s">
        <v>238</v>
      </c>
      <c r="B59" s="311">
        <v>1472</v>
      </c>
      <c r="C59" s="311">
        <v>1375</v>
      </c>
      <c r="D59" s="311">
        <v>4471</v>
      </c>
      <c r="E59" s="311">
        <v>4471</v>
      </c>
      <c r="F59" s="311">
        <v>4471</v>
      </c>
      <c r="G59" s="311">
        <v>4471</v>
      </c>
      <c r="H59" s="211">
        <v>4471</v>
      </c>
    </row>
    <row r="60" spans="1:8" ht="16.8" customHeight="1">
      <c r="A60" s="167" t="s">
        <v>239</v>
      </c>
      <c r="B60" s="311">
        <v>3784</v>
      </c>
      <c r="C60" s="311">
        <v>3653</v>
      </c>
      <c r="D60" s="311">
        <v>1807</v>
      </c>
      <c r="E60" s="311">
        <v>4578</v>
      </c>
      <c r="F60" s="311">
        <v>5132</v>
      </c>
      <c r="G60" s="311">
        <v>3769</v>
      </c>
      <c r="H60" s="211">
        <v>3628</v>
      </c>
    </row>
    <row r="61" spans="1:8" ht="13.8">
      <c r="A61" s="167" t="s">
        <v>240</v>
      </c>
      <c r="B61" s="311">
        <v>4667</v>
      </c>
      <c r="C61" s="311">
        <v>4349</v>
      </c>
      <c r="D61" s="311">
        <v>3609</v>
      </c>
      <c r="E61" s="311">
        <v>3737</v>
      </c>
      <c r="F61" s="311">
        <v>3081</v>
      </c>
      <c r="G61" s="311">
        <v>3080</v>
      </c>
      <c r="H61" s="211">
        <v>3147</v>
      </c>
    </row>
    <row r="62" spans="1:8" ht="13.8">
      <c r="A62" s="167" t="s">
        <v>241</v>
      </c>
      <c r="B62" s="311">
        <v>2152</v>
      </c>
      <c r="C62" s="311">
        <v>1392</v>
      </c>
      <c r="D62" s="311">
        <v>1914</v>
      </c>
      <c r="E62" s="311">
        <v>1960</v>
      </c>
      <c r="F62" s="311">
        <v>1796</v>
      </c>
      <c r="G62" s="311">
        <v>1975</v>
      </c>
      <c r="H62" s="211">
        <v>2063</v>
      </c>
    </row>
    <row r="63" spans="1:8" ht="13.8">
      <c r="A63" s="167" t="s">
        <v>242</v>
      </c>
      <c r="B63" s="311">
        <v>1431</v>
      </c>
      <c r="C63" s="311">
        <v>1655</v>
      </c>
      <c r="D63" s="311">
        <v>1685</v>
      </c>
      <c r="E63" s="311">
        <v>1714</v>
      </c>
      <c r="F63" s="311">
        <v>1723</v>
      </c>
      <c r="G63" s="311">
        <v>1753</v>
      </c>
      <c r="H63" s="211">
        <v>1714</v>
      </c>
    </row>
    <row r="64" spans="1:8" ht="13.8">
      <c r="A64" s="167" t="s">
        <v>243</v>
      </c>
      <c r="B64" s="311">
        <v>1195</v>
      </c>
      <c r="C64" s="311">
        <v>1755</v>
      </c>
      <c r="D64" s="311">
        <v>1688</v>
      </c>
      <c r="E64" s="311">
        <v>1635</v>
      </c>
      <c r="F64" s="311">
        <v>1662</v>
      </c>
      <c r="G64" s="311">
        <v>1688</v>
      </c>
      <c r="H64" s="211">
        <v>1541</v>
      </c>
    </row>
    <row r="65" spans="1:9" ht="13.8">
      <c r="A65" s="167" t="s">
        <v>244</v>
      </c>
      <c r="B65" s="311">
        <v>6831</v>
      </c>
      <c r="C65" s="311">
        <v>4142</v>
      </c>
      <c r="D65" s="311">
        <v>2833</v>
      </c>
      <c r="E65" s="311">
        <v>2767</v>
      </c>
      <c r="F65" s="311">
        <v>1334</v>
      </c>
      <c r="G65" s="311">
        <v>1205</v>
      </c>
      <c r="H65" s="211">
        <v>1451</v>
      </c>
    </row>
    <row r="66" spans="1:9" ht="13.8">
      <c r="A66" s="167" t="s">
        <v>245</v>
      </c>
      <c r="B66" s="311">
        <v>1535</v>
      </c>
      <c r="C66" s="311">
        <v>1928</v>
      </c>
      <c r="D66" s="311">
        <v>1336</v>
      </c>
      <c r="E66" s="311">
        <v>1299</v>
      </c>
      <c r="F66" s="311">
        <v>1241</v>
      </c>
      <c r="G66" s="311">
        <v>1296</v>
      </c>
      <c r="H66" s="211">
        <v>1263</v>
      </c>
    </row>
    <row r="67" spans="1:9" ht="13.8">
      <c r="A67" s="167" t="s">
        <v>246</v>
      </c>
      <c r="B67" s="310">
        <v>632</v>
      </c>
      <c r="C67" s="311">
        <v>1030</v>
      </c>
      <c r="D67" s="310">
        <v>956</v>
      </c>
      <c r="E67" s="310">
        <v>933</v>
      </c>
      <c r="F67" s="310">
        <v>925</v>
      </c>
      <c r="G67" s="311">
        <v>1009</v>
      </c>
      <c r="H67" s="211">
        <v>1009</v>
      </c>
    </row>
    <row r="68" spans="1:9" ht="13.8">
      <c r="A68" s="167" t="s">
        <v>247</v>
      </c>
      <c r="B68" s="311">
        <v>1529</v>
      </c>
      <c r="C68" s="311">
        <v>1342</v>
      </c>
      <c r="D68" s="311">
        <v>1037</v>
      </c>
      <c r="E68" s="310">
        <v>999</v>
      </c>
      <c r="F68" s="310">
        <v>998</v>
      </c>
      <c r="G68" s="311">
        <v>1028</v>
      </c>
      <c r="H68" s="185">
        <v>940</v>
      </c>
    </row>
    <row r="69" spans="1:9" ht="13.8">
      <c r="A69" s="167" t="s">
        <v>248</v>
      </c>
      <c r="B69" s="310">
        <v>516</v>
      </c>
      <c r="C69" s="310">
        <v>553</v>
      </c>
      <c r="D69" s="310">
        <v>459</v>
      </c>
      <c r="E69" s="310">
        <v>473</v>
      </c>
      <c r="F69" s="310">
        <v>500</v>
      </c>
      <c r="G69" s="310">
        <v>513</v>
      </c>
      <c r="H69" s="185">
        <v>513</v>
      </c>
    </row>
    <row r="70" spans="1:9" ht="13.8">
      <c r="A70" s="167" t="s">
        <v>249</v>
      </c>
      <c r="B70" s="310">
        <v>375</v>
      </c>
      <c r="C70" s="310">
        <v>219</v>
      </c>
      <c r="D70" s="310">
        <v>173</v>
      </c>
      <c r="E70" s="310">
        <v>180</v>
      </c>
      <c r="F70" s="310">
        <v>174</v>
      </c>
      <c r="G70" s="310">
        <v>186</v>
      </c>
      <c r="H70" s="185">
        <v>189</v>
      </c>
    </row>
    <row r="71" spans="1:9" s="17" customFormat="1" ht="13.8">
      <c r="A71" s="170" t="s">
        <v>250</v>
      </c>
      <c r="B71" s="315">
        <v>6</v>
      </c>
      <c r="C71" s="315">
        <v>7</v>
      </c>
      <c r="D71" s="315">
        <v>7</v>
      </c>
      <c r="E71" s="315">
        <v>7</v>
      </c>
      <c r="F71" s="315">
        <v>7</v>
      </c>
      <c r="G71" s="315">
        <v>7</v>
      </c>
      <c r="H71" s="187">
        <v>7</v>
      </c>
      <c r="I71" s="178" t="s">
        <v>286</v>
      </c>
    </row>
    <row r="72" spans="1:9" ht="13.8">
      <c r="A72" s="167" t="s">
        <v>251</v>
      </c>
      <c r="B72" s="310">
        <v>1</v>
      </c>
      <c r="C72" s="310">
        <v>3</v>
      </c>
      <c r="D72" s="310">
        <v>2</v>
      </c>
      <c r="E72" s="310">
        <v>3</v>
      </c>
      <c r="F72" s="310">
        <v>3</v>
      </c>
      <c r="G72" s="310">
        <v>3</v>
      </c>
      <c r="H72" s="185">
        <v>1</v>
      </c>
    </row>
    <row r="73" spans="1:9" ht="27.6">
      <c r="A73" s="168" t="s">
        <v>259</v>
      </c>
      <c r="B73" s="312">
        <v>219413</v>
      </c>
      <c r="C73" s="312">
        <v>230700</v>
      </c>
      <c r="D73" s="312">
        <v>323187</v>
      </c>
      <c r="E73" s="312">
        <v>317742</v>
      </c>
      <c r="F73" s="312">
        <v>317191</v>
      </c>
      <c r="G73" s="312">
        <v>322225</v>
      </c>
      <c r="H73" s="186">
        <v>328938</v>
      </c>
    </row>
    <row r="74" spans="1:9" ht="13.8">
      <c r="A74" s="168" t="s">
        <v>260</v>
      </c>
      <c r="B74" s="312">
        <v>103463</v>
      </c>
      <c r="C74" s="312">
        <v>113139</v>
      </c>
      <c r="D74" s="312">
        <v>103400</v>
      </c>
      <c r="E74" s="312">
        <v>110887</v>
      </c>
      <c r="F74" s="312">
        <v>116594</v>
      </c>
      <c r="G74" s="312">
        <v>120107</v>
      </c>
      <c r="H74" s="186">
        <v>122088</v>
      </c>
    </row>
    <row r="75" spans="1:9" ht="13.8">
      <c r="A75" s="8"/>
    </row>
    <row r="76" spans="1:9" ht="13.8">
      <c r="A76" s="8"/>
      <c r="H76" s="188"/>
    </row>
    <row r="77" spans="1:9" s="192" customFormat="1" ht="41.4">
      <c r="A77" s="189" t="s">
        <v>269</v>
      </c>
      <c r="B77" s="291">
        <v>1990</v>
      </c>
      <c r="C77" s="291">
        <v>2005</v>
      </c>
      <c r="D77" s="291">
        <v>2014</v>
      </c>
      <c r="E77" s="291">
        <v>2015</v>
      </c>
      <c r="F77" s="291">
        <v>2016</v>
      </c>
      <c r="G77" s="291">
        <v>2017</v>
      </c>
      <c r="H77" s="200">
        <v>2018</v>
      </c>
      <c r="I77" s="201" t="s">
        <v>288</v>
      </c>
    </row>
    <row r="78" spans="1:9" s="192" customFormat="1" ht="13.8">
      <c r="A78" s="189" t="s">
        <v>254</v>
      </c>
      <c r="B78" s="292">
        <v>1820</v>
      </c>
      <c r="C78" s="292">
        <v>2400</v>
      </c>
      <c r="D78" s="292">
        <v>2037.1</v>
      </c>
      <c r="E78" s="292">
        <v>1900.6</v>
      </c>
      <c r="F78" s="292">
        <v>1808.9</v>
      </c>
      <c r="G78" s="292">
        <v>1732</v>
      </c>
      <c r="H78" s="191">
        <v>1752.8</v>
      </c>
    </row>
    <row r="79" spans="1:9" s="194" customFormat="1" ht="13.8">
      <c r="A79" s="190" t="s">
        <v>262</v>
      </c>
      <c r="B79" s="292">
        <v>1546.5</v>
      </c>
      <c r="C79" s="292">
        <v>1982.8</v>
      </c>
      <c r="D79" s="292">
        <v>1568.6</v>
      </c>
      <c r="E79" s="292">
        <v>1351.4</v>
      </c>
      <c r="F79" s="292">
        <v>1242</v>
      </c>
      <c r="G79" s="292">
        <v>1207.0999999999999</v>
      </c>
      <c r="H79" s="197">
        <v>1152.9000000000001</v>
      </c>
    </row>
    <row r="80" spans="1:9" s="194" customFormat="1" ht="13.8">
      <c r="A80" s="190" t="s">
        <v>263</v>
      </c>
      <c r="B80" s="291">
        <v>175.4</v>
      </c>
      <c r="C80" s="291">
        <v>318.89999999999998</v>
      </c>
      <c r="D80" s="291">
        <v>442.9</v>
      </c>
      <c r="E80" s="291">
        <v>525.20000000000005</v>
      </c>
      <c r="F80" s="291">
        <v>545</v>
      </c>
      <c r="G80" s="291">
        <v>505.6</v>
      </c>
      <c r="H80" s="197">
        <v>577.4</v>
      </c>
    </row>
    <row r="81" spans="1:10" s="194" customFormat="1" ht="13.8">
      <c r="A81" s="190" t="s">
        <v>265</v>
      </c>
      <c r="B81" s="291">
        <v>97.5</v>
      </c>
      <c r="C81" s="291">
        <v>97.9</v>
      </c>
      <c r="D81" s="291">
        <v>25.3</v>
      </c>
      <c r="E81" s="291">
        <v>23.7</v>
      </c>
      <c r="F81" s="291">
        <v>21.4</v>
      </c>
      <c r="G81" s="291">
        <v>18.899999999999999</v>
      </c>
      <c r="H81" s="197">
        <v>22.2</v>
      </c>
    </row>
    <row r="82" spans="1:10" s="194" customFormat="1" ht="13.8">
      <c r="A82" s="190" t="s">
        <v>266</v>
      </c>
      <c r="B82" s="291">
        <v>0.5</v>
      </c>
      <c r="C82" s="291">
        <v>0.5</v>
      </c>
      <c r="D82" s="291">
        <v>0.4</v>
      </c>
      <c r="E82" s="291">
        <v>0.4</v>
      </c>
      <c r="F82" s="291">
        <v>0.4</v>
      </c>
      <c r="G82" s="291">
        <v>0.4</v>
      </c>
      <c r="H82" s="197">
        <v>0.4</v>
      </c>
    </row>
    <row r="83" spans="1:10" s="196" customFormat="1" ht="13.8">
      <c r="A83" s="193"/>
      <c r="B83" s="293"/>
      <c r="C83" s="293"/>
      <c r="D83" s="293"/>
      <c r="E83" s="293"/>
      <c r="F83" s="293"/>
      <c r="G83" s="293"/>
      <c r="H83" s="195"/>
    </row>
    <row r="84" spans="1:10" s="196" customFormat="1" ht="27.6">
      <c r="A84" s="189" t="s">
        <v>270</v>
      </c>
      <c r="B84" s="291">
        <v>1990</v>
      </c>
      <c r="C84" s="291">
        <v>2005</v>
      </c>
      <c r="D84" s="291">
        <v>2014</v>
      </c>
      <c r="E84" s="291">
        <v>2015</v>
      </c>
      <c r="F84" s="291">
        <v>2016</v>
      </c>
      <c r="G84" s="291">
        <v>2017</v>
      </c>
      <c r="H84" s="191">
        <v>2018</v>
      </c>
      <c r="I84" s="196">
        <v>25</v>
      </c>
    </row>
    <row r="85" spans="1:10" s="196" customFormat="1" ht="13.8">
      <c r="A85" s="189" t="s">
        <v>254</v>
      </c>
      <c r="B85" s="291">
        <v>0.4</v>
      </c>
      <c r="C85" s="291">
        <v>0.9</v>
      </c>
      <c r="D85" s="291">
        <v>1.1000000000000001</v>
      </c>
      <c r="E85" s="291">
        <v>1.2</v>
      </c>
      <c r="F85" s="291">
        <v>1.2</v>
      </c>
      <c r="G85" s="291">
        <v>1.1000000000000001</v>
      </c>
      <c r="H85" s="191">
        <v>1.2</v>
      </c>
      <c r="I85" s="196">
        <f>H85/I$84</f>
        <v>4.8000000000000001E-2</v>
      </c>
    </row>
    <row r="86" spans="1:10" s="196" customFormat="1" ht="13.8">
      <c r="A86" s="190" t="s">
        <v>8</v>
      </c>
      <c r="B86" s="291">
        <v>0.3</v>
      </c>
      <c r="C86" s="291">
        <v>0.4</v>
      </c>
      <c r="D86" s="291">
        <v>0.3</v>
      </c>
      <c r="E86" s="291">
        <v>0.3</v>
      </c>
      <c r="F86" s="291">
        <v>0.2</v>
      </c>
      <c r="G86" s="291">
        <v>0.2</v>
      </c>
      <c r="H86" s="197">
        <v>0.2</v>
      </c>
      <c r="I86" s="196">
        <f t="shared" ref="I86:I88" si="3">H86/I$84</f>
        <v>8.0000000000000002E-3</v>
      </c>
    </row>
    <row r="87" spans="1:10" s="196" customFormat="1" ht="13.8">
      <c r="A87" s="190" t="s">
        <v>267</v>
      </c>
      <c r="B87" s="291" t="s">
        <v>268</v>
      </c>
      <c r="C87" s="291" t="s">
        <v>268</v>
      </c>
      <c r="D87" s="291" t="s">
        <v>268</v>
      </c>
      <c r="E87" s="291" t="s">
        <v>268</v>
      </c>
      <c r="F87" s="291" t="s">
        <v>268</v>
      </c>
      <c r="G87" s="291" t="s">
        <v>268</v>
      </c>
      <c r="H87" s="197" t="s">
        <v>268</v>
      </c>
    </row>
    <row r="88" spans="1:10" s="196" customFormat="1" ht="13.8">
      <c r="A88" s="190" t="s">
        <v>78</v>
      </c>
      <c r="B88" s="291">
        <v>0.1</v>
      </c>
      <c r="C88" s="291">
        <v>0.5</v>
      </c>
      <c r="D88" s="291">
        <v>0.8</v>
      </c>
      <c r="E88" s="291">
        <v>0.9</v>
      </c>
      <c r="F88" s="291">
        <v>0.9</v>
      </c>
      <c r="G88" s="291">
        <v>0.9</v>
      </c>
      <c r="H88" s="197">
        <v>1</v>
      </c>
      <c r="I88" s="196">
        <f t="shared" si="3"/>
        <v>0.04</v>
      </c>
      <c r="J88" s="198">
        <f>summary!C20</f>
        <v>0.04</v>
      </c>
    </row>
    <row r="89" spans="1:10" s="196" customFormat="1" ht="13.8">
      <c r="A89" s="193"/>
      <c r="B89" s="293"/>
      <c r="C89" s="293"/>
      <c r="D89" s="293"/>
      <c r="E89" s="293"/>
      <c r="F89" s="293"/>
      <c r="G89" s="293"/>
      <c r="H89" s="199"/>
    </row>
    <row r="90" spans="1:10" s="196" customFormat="1" ht="27.6">
      <c r="A90" s="189" t="s">
        <v>272</v>
      </c>
      <c r="B90" s="291">
        <v>1990</v>
      </c>
      <c r="C90" s="291">
        <v>2005</v>
      </c>
      <c r="D90" s="291">
        <v>2014</v>
      </c>
      <c r="E90" s="291">
        <v>2015</v>
      </c>
      <c r="F90" s="291">
        <v>2016</v>
      </c>
      <c r="G90" s="291">
        <v>2017</v>
      </c>
      <c r="H90" s="191">
        <v>2018</v>
      </c>
    </row>
    <row r="91" spans="1:10" s="196" customFormat="1" ht="13.8">
      <c r="A91" s="189" t="s">
        <v>254</v>
      </c>
      <c r="B91" s="291">
        <v>20.5</v>
      </c>
      <c r="C91" s="291">
        <v>30.1</v>
      </c>
      <c r="D91" s="291">
        <v>28.9</v>
      </c>
      <c r="E91" s="291">
        <v>26.5</v>
      </c>
      <c r="F91" s="291">
        <v>26.2</v>
      </c>
      <c r="G91" s="291">
        <v>24.8</v>
      </c>
      <c r="H91" s="191">
        <v>24.4</v>
      </c>
    </row>
    <row r="92" spans="1:10" s="194" customFormat="1" ht="13.8">
      <c r="A92" s="190" t="s">
        <v>262</v>
      </c>
      <c r="B92" s="291">
        <v>20.100000000000001</v>
      </c>
      <c r="C92" s="291">
        <v>28</v>
      </c>
      <c r="D92" s="291">
        <v>25.7</v>
      </c>
      <c r="E92" s="291">
        <v>22.8</v>
      </c>
      <c r="F92" s="291">
        <v>22.4</v>
      </c>
      <c r="G92" s="291">
        <v>21.2</v>
      </c>
      <c r="H92" s="197">
        <v>20.3</v>
      </c>
      <c r="I92" s="196"/>
    </row>
    <row r="93" spans="1:10" s="194" customFormat="1" ht="13.8">
      <c r="A93" s="190" t="s">
        <v>265</v>
      </c>
      <c r="B93" s="291">
        <v>0.1</v>
      </c>
      <c r="C93" s="291">
        <v>0.1</v>
      </c>
      <c r="D93" s="291" t="s">
        <v>271</v>
      </c>
      <c r="E93" s="291" t="s">
        <v>271</v>
      </c>
      <c r="F93" s="291" t="s">
        <v>271</v>
      </c>
      <c r="G93" s="291" t="s">
        <v>271</v>
      </c>
      <c r="H93" s="197" t="s">
        <v>271</v>
      </c>
      <c r="I93" s="196"/>
    </row>
    <row r="94" spans="1:10" s="194" customFormat="1" ht="13.8">
      <c r="A94" s="190" t="s">
        <v>263</v>
      </c>
      <c r="B94" s="291">
        <v>0.3</v>
      </c>
      <c r="C94" s="291">
        <v>1.9</v>
      </c>
      <c r="D94" s="291">
        <v>3.1</v>
      </c>
      <c r="E94" s="291">
        <v>3.7</v>
      </c>
      <c r="F94" s="291">
        <v>3.8</v>
      </c>
      <c r="G94" s="291">
        <v>3.6</v>
      </c>
      <c r="H94" s="197">
        <v>4.0999999999999996</v>
      </c>
      <c r="I94" s="196"/>
    </row>
    <row r="95" spans="1:10" ht="13.8">
      <c r="A95" s="8"/>
    </row>
    <row r="96" spans="1:10" s="3" customFormat="1" ht="13.8">
      <c r="A96" s="8" t="s">
        <v>273</v>
      </c>
      <c r="B96" s="275"/>
      <c r="C96" s="275"/>
      <c r="D96" s="275"/>
      <c r="E96" s="275"/>
      <c r="F96" s="275"/>
      <c r="G96" s="275"/>
      <c r="H96" s="188"/>
    </row>
    <row r="97" spans="1:11" s="3" customFormat="1" ht="13.8">
      <c r="A97" s="172" t="s">
        <v>284</v>
      </c>
      <c r="B97" s="275"/>
      <c r="C97" s="275"/>
      <c r="D97" s="275"/>
      <c r="E97" s="275"/>
      <c r="F97" s="275"/>
      <c r="G97" s="275"/>
      <c r="H97" s="188"/>
    </row>
    <row r="98" spans="1:11" s="3" customFormat="1" ht="13.8">
      <c r="A98" s="8" t="s">
        <v>283</v>
      </c>
      <c r="B98" s="275"/>
      <c r="C98" s="275"/>
      <c r="D98" s="275"/>
      <c r="E98" s="275"/>
      <c r="F98" s="275"/>
      <c r="G98" s="275"/>
      <c r="H98" s="188"/>
    </row>
    <row r="99" spans="1:11" s="3" customFormat="1" ht="27.6">
      <c r="A99" s="167" t="s">
        <v>274</v>
      </c>
      <c r="B99" s="289">
        <v>1990</v>
      </c>
      <c r="C99" s="289">
        <v>2005</v>
      </c>
      <c r="D99" s="289">
        <v>2014</v>
      </c>
      <c r="E99" s="289">
        <v>2015</v>
      </c>
      <c r="F99" s="289">
        <v>2016</v>
      </c>
      <c r="G99" s="289">
        <v>2017</v>
      </c>
      <c r="H99" s="185">
        <v>2018</v>
      </c>
      <c r="I99" s="58" t="s">
        <v>294</v>
      </c>
      <c r="J99" s="205" t="s">
        <v>295</v>
      </c>
      <c r="K99" s="173" t="s">
        <v>287</v>
      </c>
    </row>
    <row r="100" spans="1:11" s="3" customFormat="1" ht="13.8">
      <c r="A100" s="167" t="s">
        <v>262</v>
      </c>
      <c r="B100" s="294">
        <v>0.54100000000000004</v>
      </c>
      <c r="C100" s="294">
        <v>0.51100000000000001</v>
      </c>
      <c r="D100" s="294">
        <v>0.39900000000000002</v>
      </c>
      <c r="E100" s="294">
        <v>0.34200000000000003</v>
      </c>
      <c r="F100" s="294">
        <v>0.314</v>
      </c>
      <c r="G100" s="294">
        <v>0.309</v>
      </c>
      <c r="H100" s="202">
        <v>0.28399999999999997</v>
      </c>
      <c r="I100" s="203">
        <f>H100*H$106</f>
        <v>1138.5559999999998</v>
      </c>
      <c r="J100" s="204">
        <f>summary!E38</f>
        <v>1138555.9999999998</v>
      </c>
      <c r="K100" s="206">
        <f>1000*I100/J100</f>
        <v>1</v>
      </c>
    </row>
    <row r="101" spans="1:11" s="3" customFormat="1" ht="13.8">
      <c r="A101" s="167" t="s">
        <v>263</v>
      </c>
      <c r="B101" s="294">
        <v>0.107</v>
      </c>
      <c r="C101" s="294">
        <v>0.17499999999999999</v>
      </c>
      <c r="D101" s="294">
        <v>0.26300000000000001</v>
      </c>
      <c r="E101" s="294">
        <v>0.316</v>
      </c>
      <c r="F101" s="294">
        <v>0.32700000000000001</v>
      </c>
      <c r="G101" s="294">
        <v>0.309</v>
      </c>
      <c r="H101" s="202">
        <v>0.34100000000000003</v>
      </c>
      <c r="I101" s="203">
        <f t="shared" ref="I101:I105" si="4">H101*H$106</f>
        <v>1367.0690000000002</v>
      </c>
      <c r="J101" s="204">
        <f>summary!C38</f>
        <v>1367069.0000000002</v>
      </c>
      <c r="K101" s="206">
        <f t="shared" ref="K101:K104" si="5">1000*I101/J101</f>
        <v>1</v>
      </c>
    </row>
    <row r="102" spans="1:11" s="3" customFormat="1" ht="13.8">
      <c r="A102" s="167" t="s">
        <v>275</v>
      </c>
      <c r="B102" s="294">
        <v>0.19900000000000001</v>
      </c>
      <c r="C102" s="294">
        <v>0.2</v>
      </c>
      <c r="D102" s="294">
        <v>0.20300000000000001</v>
      </c>
      <c r="E102" s="294">
        <v>0.20399999999999999</v>
      </c>
      <c r="F102" s="294">
        <v>0.20599999999999999</v>
      </c>
      <c r="G102" s="294">
        <v>0.20799999999999999</v>
      </c>
      <c r="H102" s="202">
        <v>0.20100000000000001</v>
      </c>
      <c r="I102" s="203">
        <f t="shared" si="4"/>
        <v>805.80900000000008</v>
      </c>
      <c r="J102" s="204"/>
      <c r="K102" s="206"/>
    </row>
    <row r="103" spans="1:11" s="3" customFormat="1" ht="13.8">
      <c r="A103" s="167" t="s">
        <v>276</v>
      </c>
      <c r="B103" s="294">
        <v>0.113</v>
      </c>
      <c r="C103" s="294">
        <v>8.3000000000000004E-2</v>
      </c>
      <c r="D103" s="294">
        <v>0.128</v>
      </c>
      <c r="E103" s="294">
        <v>0.13</v>
      </c>
      <c r="F103" s="294">
        <v>0.14699999999999999</v>
      </c>
      <c r="G103" s="294">
        <v>0.16800000000000001</v>
      </c>
      <c r="H103" s="202">
        <v>0.16700000000000001</v>
      </c>
      <c r="I103" s="203">
        <f t="shared" si="4"/>
        <v>669.50300000000004</v>
      </c>
      <c r="J103" s="204"/>
      <c r="K103" s="206"/>
    </row>
    <row r="104" spans="1:11" s="3" customFormat="1" ht="13.8">
      <c r="A104" s="167" t="s">
        <v>264</v>
      </c>
      <c r="B104" s="294">
        <v>4.1000000000000002E-2</v>
      </c>
      <c r="C104" s="294">
        <v>0.03</v>
      </c>
      <c r="D104" s="294">
        <v>7.0000000000000001E-3</v>
      </c>
      <c r="E104" s="294">
        <v>7.0000000000000001E-3</v>
      </c>
      <c r="F104" s="294">
        <v>6.0000000000000001E-3</v>
      </c>
      <c r="G104" s="294">
        <v>5.0000000000000001E-3</v>
      </c>
      <c r="H104" s="202">
        <v>6.0000000000000001E-3</v>
      </c>
      <c r="I104" s="203">
        <f t="shared" si="4"/>
        <v>24.054000000000002</v>
      </c>
      <c r="J104" s="204">
        <f>summary!D38</f>
        <v>24054.000000000004</v>
      </c>
      <c r="K104" s="206">
        <f t="shared" si="5"/>
        <v>1</v>
      </c>
    </row>
    <row r="105" spans="1:11" s="3" customFormat="1" ht="13.8">
      <c r="A105" s="167" t="s">
        <v>277</v>
      </c>
      <c r="B105" s="289" t="s">
        <v>278</v>
      </c>
      <c r="C105" s="294">
        <v>1E-3</v>
      </c>
      <c r="D105" s="294">
        <v>1E-3</v>
      </c>
      <c r="E105" s="294">
        <v>1E-3</v>
      </c>
      <c r="F105" s="294">
        <v>1E-3</v>
      </c>
      <c r="G105" s="294">
        <v>1E-3</v>
      </c>
      <c r="H105" s="202">
        <v>1E-3</v>
      </c>
      <c r="I105" s="203">
        <f t="shared" si="4"/>
        <v>4.0090000000000003</v>
      </c>
    </row>
    <row r="106" spans="1:11" s="3" customFormat="1" ht="13.8">
      <c r="A106" s="8" t="s">
        <v>279</v>
      </c>
      <c r="B106" s="290">
        <v>2905</v>
      </c>
      <c r="C106" s="290">
        <v>3902</v>
      </c>
      <c r="D106" s="290">
        <v>3936</v>
      </c>
      <c r="E106" s="290">
        <v>3917</v>
      </c>
      <c r="F106" s="290">
        <v>3917</v>
      </c>
      <c r="G106" s="290">
        <v>3877</v>
      </c>
      <c r="H106" s="185">
        <v>4009</v>
      </c>
    </row>
    <row r="107" spans="1:11" s="3" customFormat="1" ht="13.8" customHeight="1">
      <c r="A107" s="470" t="s">
        <v>280</v>
      </c>
      <c r="B107" s="470"/>
      <c r="C107" s="470"/>
      <c r="D107" s="470"/>
      <c r="E107" s="470"/>
      <c r="F107" s="470"/>
      <c r="G107" s="470"/>
      <c r="H107" s="470"/>
    </row>
    <row r="108" spans="1:11" s="3" customFormat="1" ht="14.4" customHeight="1">
      <c r="A108" s="471" t="s">
        <v>281</v>
      </c>
      <c r="B108" s="471"/>
      <c r="C108" s="471"/>
      <c r="D108" s="471"/>
      <c r="E108" s="471"/>
      <c r="F108" s="471"/>
      <c r="G108" s="471"/>
      <c r="H108" s="471"/>
    </row>
    <row r="109" spans="1:11" s="3" customFormat="1" ht="14.4" customHeight="1">
      <c r="A109" s="470" t="s">
        <v>282</v>
      </c>
      <c r="B109" s="470"/>
      <c r="C109" s="470"/>
      <c r="D109" s="470"/>
      <c r="E109" s="470"/>
      <c r="F109" s="470"/>
      <c r="G109" s="470"/>
      <c r="H109" s="470"/>
    </row>
    <row r="110" spans="1:11" ht="13.8">
      <c r="A110" s="8"/>
    </row>
  </sheetData>
  <mergeCells count="3">
    <mergeCell ref="A107:H107"/>
    <mergeCell ref="A108:H108"/>
    <mergeCell ref="A109:H109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I5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3.2"/>
  <cols>
    <col min="1" max="1" width="41" customWidth="1"/>
    <col min="2" max="3" width="14.21875" customWidth="1"/>
    <col min="4" max="4" width="12.88671875" customWidth="1"/>
    <col min="5" max="5" width="12.21875" customWidth="1"/>
    <col min="6" max="6" width="12.109375" bestFit="1" customWidth="1"/>
    <col min="7" max="8" width="8" style="365" customWidth="1"/>
    <col min="9" max="9" width="9.21875" style="365" customWidth="1"/>
    <col min="10" max="10" width="14.44140625" style="394" customWidth="1"/>
    <col min="11" max="11" width="9.88671875" style="394" customWidth="1"/>
    <col min="12" max="12" width="7.6640625" style="394" customWidth="1"/>
    <col min="13" max="13" width="6" style="390" customWidth="1"/>
    <col min="14" max="14" width="7" style="394" customWidth="1"/>
    <col min="15" max="17" width="4.77734375" style="394" customWidth="1"/>
    <col min="18" max="19" width="4.77734375" style="396" customWidth="1"/>
    <col min="20" max="34" width="4.77734375" style="394" customWidth="1"/>
    <col min="35" max="35" width="8.77734375" style="394" customWidth="1"/>
    <col min="36" max="41" width="4.77734375" style="394" customWidth="1"/>
    <col min="42" max="42" width="4.77734375" style="365" customWidth="1"/>
    <col min="43" max="43" width="5.6640625" style="365" customWidth="1"/>
    <col min="44" max="44" width="4.77734375" style="365" customWidth="1"/>
    <col min="45" max="45" width="6.33203125" style="365" customWidth="1"/>
    <col min="46" max="46" width="5.33203125" style="387" customWidth="1"/>
    <col min="47" max="47" width="4.77734375" style="387" customWidth="1"/>
    <col min="48" max="48" width="5.6640625" style="365" customWidth="1"/>
    <col min="49" max="49" width="4.77734375" style="384" customWidth="1"/>
    <col min="50" max="57" width="4.77734375" style="365" customWidth="1"/>
  </cols>
  <sheetData>
    <row r="1" spans="1:57" ht="57.6">
      <c r="A1" s="2" t="s">
        <v>125</v>
      </c>
      <c r="B1" s="65" t="s">
        <v>136</v>
      </c>
      <c r="C1" s="65" t="s">
        <v>137</v>
      </c>
      <c r="D1" s="65" t="s">
        <v>133</v>
      </c>
      <c r="E1" s="67" t="s">
        <v>135</v>
      </c>
    </row>
    <row r="2" spans="1:57">
      <c r="A2" t="s">
        <v>116</v>
      </c>
      <c r="B2" s="59">
        <v>120.4</v>
      </c>
      <c r="C2" s="60">
        <v>329.7</v>
      </c>
      <c r="D2" s="59" t="s">
        <v>117</v>
      </c>
    </row>
    <row r="3" spans="1:57">
      <c r="A3" t="s">
        <v>118</v>
      </c>
      <c r="B3" s="59">
        <v>1.33</v>
      </c>
      <c r="C3" s="60">
        <v>3.67</v>
      </c>
      <c r="D3" s="59"/>
    </row>
    <row r="4" spans="1:57">
      <c r="A4" t="s">
        <v>119</v>
      </c>
      <c r="B4" s="61">
        <f>B2*B3</f>
        <v>160.13200000000001</v>
      </c>
      <c r="C4" s="61">
        <f>C2*C3</f>
        <v>1209.999</v>
      </c>
      <c r="D4" s="59"/>
    </row>
    <row r="5" spans="1:57">
      <c r="A5" t="s">
        <v>120</v>
      </c>
      <c r="B5" s="61">
        <v>4046.86</v>
      </c>
      <c r="C5" s="61">
        <v>4046.86</v>
      </c>
      <c r="D5" s="59"/>
    </row>
    <row r="6" spans="1:57">
      <c r="A6" t="s">
        <v>121</v>
      </c>
      <c r="B6" s="61">
        <v>365</v>
      </c>
      <c r="C6" s="61">
        <v>365</v>
      </c>
      <c r="D6" s="59"/>
    </row>
    <row r="7" spans="1:57">
      <c r="A7" t="s">
        <v>122</v>
      </c>
      <c r="B7" s="62">
        <v>1000000000</v>
      </c>
      <c r="C7" s="62">
        <v>1000000000</v>
      </c>
      <c r="D7" s="59"/>
    </row>
    <row r="8" spans="1:57">
      <c r="A8" s="3" t="s">
        <v>403</v>
      </c>
      <c r="B8" s="266">
        <f>B4*B6*B5/B7</f>
        <v>0.2365316017148</v>
      </c>
      <c r="C8" s="266">
        <f>C4*C6*C5/C7</f>
        <v>1.7872942418961</v>
      </c>
      <c r="D8" s="59"/>
    </row>
    <row r="9" spans="1:57">
      <c r="A9" t="s">
        <v>123</v>
      </c>
      <c r="B9" s="62">
        <v>1000000</v>
      </c>
      <c r="C9" s="62">
        <v>1000000</v>
      </c>
      <c r="D9" s="59"/>
    </row>
    <row r="10" spans="1:57">
      <c r="A10" t="s">
        <v>124</v>
      </c>
      <c r="B10" s="63">
        <f>B4*B5*B6/(B7*B9)</f>
        <v>2.3653160171480001E-7</v>
      </c>
      <c r="C10" s="64">
        <f>C4*C5*C6/(C7*C9)</f>
        <v>1.7872942418961001E-6</v>
      </c>
      <c r="D10" s="59"/>
    </row>
    <row r="11" spans="1:57" s="431" customFormat="1" ht="61.8" customHeight="1">
      <c r="B11" s="65" t="s">
        <v>126</v>
      </c>
      <c r="C11" s="65" t="s">
        <v>127</v>
      </c>
      <c r="E11" s="426" t="s">
        <v>134</v>
      </c>
      <c r="F11" s="35" t="s">
        <v>632</v>
      </c>
      <c r="G11" s="430" t="s">
        <v>630</v>
      </c>
      <c r="H11" s="430" t="s">
        <v>633</v>
      </c>
      <c r="I11" s="430" t="s">
        <v>631</v>
      </c>
      <c r="J11" s="432" t="s">
        <v>635</v>
      </c>
      <c r="K11" s="432" t="s">
        <v>634</v>
      </c>
      <c r="L11" s="432" t="s">
        <v>637</v>
      </c>
      <c r="M11" s="444" t="s">
        <v>636</v>
      </c>
      <c r="N11" s="432"/>
      <c r="O11" s="432"/>
      <c r="P11" s="432"/>
      <c r="Q11" s="432"/>
      <c r="R11" s="433"/>
      <c r="S11" s="433"/>
      <c r="T11" s="432"/>
      <c r="U11" s="432"/>
      <c r="V11" s="432"/>
      <c r="W11" s="432"/>
      <c r="X11" s="432"/>
      <c r="Y11" s="432"/>
      <c r="Z11" s="432"/>
      <c r="AA11" s="432"/>
      <c r="AB11" s="432"/>
      <c r="AC11" s="432"/>
      <c r="AD11" s="432"/>
      <c r="AE11" s="432"/>
      <c r="AF11" s="432"/>
      <c r="AG11" s="432"/>
      <c r="AH11" s="432"/>
      <c r="AI11" s="432"/>
      <c r="AJ11" s="432"/>
      <c r="AK11" s="432"/>
      <c r="AL11" s="432"/>
      <c r="AM11" s="432"/>
      <c r="AN11" s="432"/>
      <c r="AO11" s="432"/>
      <c r="AP11" s="430"/>
      <c r="AQ11" s="430"/>
      <c r="AR11" s="430"/>
      <c r="AS11" s="430"/>
      <c r="AT11" s="434"/>
      <c r="AU11" s="434"/>
      <c r="AV11" s="430"/>
      <c r="AW11" s="435"/>
      <c r="AX11" s="430"/>
      <c r="AY11" s="430"/>
      <c r="AZ11" s="430"/>
      <c r="BA11" s="430"/>
      <c r="BB11" s="430"/>
      <c r="BC11" s="430"/>
      <c r="BD11" s="430"/>
      <c r="BE11" s="430"/>
    </row>
    <row r="12" spans="1:57" ht="14.4">
      <c r="A12" s="66" t="s">
        <v>128</v>
      </c>
      <c r="B12" s="59">
        <f>L12</f>
        <v>1.42601347</v>
      </c>
      <c r="C12" s="59">
        <f t="shared" ref="B12:C17" si="0">$E12*C$10</f>
        <v>21.744886660669444</v>
      </c>
      <c r="D12" s="59">
        <f>B12*87</f>
        <v>124.06317189000001</v>
      </c>
      <c r="E12" s="61">
        <f>SUM(E14:E17)</f>
        <v>12166372.022550011</v>
      </c>
      <c r="F12" s="427">
        <f>elec!H17</f>
        <v>273707</v>
      </c>
      <c r="G12" s="429">
        <f>summary!F72</f>
        <v>5.3140500000000007E-3</v>
      </c>
      <c r="H12" s="365">
        <f>G12*1000000/2205</f>
        <v>2.4100000000000006</v>
      </c>
      <c r="I12" s="428">
        <f>H12*F12/1000000</f>
        <v>0.65963387000000007</v>
      </c>
      <c r="J12" s="436">
        <v>5.21</v>
      </c>
      <c r="K12" s="394">
        <f>J12*F$12</f>
        <v>1426013.47</v>
      </c>
      <c r="L12" s="436">
        <f>K12/1000000</f>
        <v>1.42601347</v>
      </c>
      <c r="M12" s="436">
        <v>2.41</v>
      </c>
    </row>
    <row r="13" spans="1:57" ht="14.4">
      <c r="A13" s="66" t="s">
        <v>90</v>
      </c>
      <c r="B13" s="59"/>
      <c r="C13" s="59"/>
      <c r="D13" s="59"/>
      <c r="E13" s="61"/>
      <c r="F13" s="427"/>
      <c r="G13" s="429"/>
      <c r="I13" s="428"/>
      <c r="J13" s="436">
        <v>155.31</v>
      </c>
      <c r="K13" s="394">
        <f>J13*F$12</f>
        <v>42509434.170000002</v>
      </c>
      <c r="L13" s="436">
        <f>K13/1000000</f>
        <v>42.509434169999999</v>
      </c>
      <c r="M13" s="436">
        <v>65.98</v>
      </c>
    </row>
    <row r="14" spans="1:57">
      <c r="A14" t="s">
        <v>129</v>
      </c>
      <c r="B14" s="59">
        <f t="shared" si="0"/>
        <v>0.68725953282882668</v>
      </c>
      <c r="C14" s="59">
        <f t="shared" si="0"/>
        <v>5.1931116045721497</v>
      </c>
      <c r="D14" s="59">
        <f t="shared" ref="D14:D17" si="1">B14*87</f>
        <v>59.791579356107924</v>
      </c>
      <c r="E14" s="61">
        <v>2905571.7200000011</v>
      </c>
    </row>
    <row r="15" spans="1:57">
      <c r="A15" t="s">
        <v>130</v>
      </c>
      <c r="B15" s="59">
        <f t="shared" si="0"/>
        <v>1.5812128113370312</v>
      </c>
      <c r="C15" s="59">
        <f t="shared" si="0"/>
        <v>11.948054857898461</v>
      </c>
      <c r="D15" s="59">
        <f t="shared" si="1"/>
        <v>137.56551458632171</v>
      </c>
      <c r="E15" s="61">
        <v>6684996</v>
      </c>
    </row>
    <row r="16" spans="1:57">
      <c r="A16" t="s">
        <v>131</v>
      </c>
      <c r="B16" s="59">
        <f t="shared" si="0"/>
        <v>0.39888956654209606</v>
      </c>
      <c r="C16" s="59">
        <f t="shared" si="0"/>
        <v>3.0141132105161348</v>
      </c>
      <c r="D16" s="59">
        <f t="shared" si="1"/>
        <v>34.703392289162359</v>
      </c>
      <c r="E16" s="61">
        <v>1686411.3025500099</v>
      </c>
    </row>
    <row r="17" spans="1:57">
      <c r="A17" t="s">
        <v>132</v>
      </c>
      <c r="B17" s="59">
        <f t="shared" si="0"/>
        <v>0.21036955084393116</v>
      </c>
      <c r="C17" s="59">
        <f t="shared" si="0"/>
        <v>1.5896069876826984</v>
      </c>
      <c r="D17" s="59">
        <f t="shared" si="1"/>
        <v>18.302150923422012</v>
      </c>
      <c r="E17" s="61">
        <v>889393.00000000012</v>
      </c>
    </row>
    <row r="20" spans="1:57" s="364" customFormat="1" ht="73.8" customHeight="1">
      <c r="A20" s="398" t="s">
        <v>520</v>
      </c>
      <c r="B20" s="368" t="s">
        <v>521</v>
      </c>
      <c r="C20" s="364" t="s">
        <v>459</v>
      </c>
      <c r="D20" s="364">
        <v>87</v>
      </c>
      <c r="E20" s="364">
        <v>36</v>
      </c>
      <c r="F20" s="364" t="s">
        <v>460</v>
      </c>
      <c r="G20" s="366" t="s">
        <v>461</v>
      </c>
      <c r="H20" s="366" t="s">
        <v>462</v>
      </c>
      <c r="I20" s="366" t="s">
        <v>463</v>
      </c>
      <c r="J20" s="395" t="s">
        <v>464</v>
      </c>
      <c r="K20" s="395" t="s">
        <v>465</v>
      </c>
      <c r="L20" s="395" t="s">
        <v>466</v>
      </c>
      <c r="M20" s="391" t="s">
        <v>467</v>
      </c>
      <c r="N20" s="395" t="s">
        <v>468</v>
      </c>
      <c r="O20" s="395" t="s">
        <v>469</v>
      </c>
      <c r="P20" s="395" t="s">
        <v>470</v>
      </c>
      <c r="Q20" s="395" t="s">
        <v>471</v>
      </c>
      <c r="R20" s="379" t="s">
        <v>472</v>
      </c>
      <c r="S20" s="378" t="s">
        <v>473</v>
      </c>
      <c r="T20" s="395" t="s">
        <v>474</v>
      </c>
      <c r="U20" s="395" t="s">
        <v>475</v>
      </c>
      <c r="V20" s="395" t="s">
        <v>476</v>
      </c>
      <c r="W20" s="395" t="s">
        <v>477</v>
      </c>
      <c r="X20" s="382" t="s">
        <v>478</v>
      </c>
      <c r="Y20" s="382" t="s">
        <v>479</v>
      </c>
      <c r="Z20" s="395" t="s">
        <v>480</v>
      </c>
      <c r="AA20" s="395" t="s">
        <v>481</v>
      </c>
      <c r="AB20" s="395" t="s">
        <v>482</v>
      </c>
      <c r="AC20" s="395" t="s">
        <v>483</v>
      </c>
      <c r="AD20" s="395" t="s">
        <v>484</v>
      </c>
      <c r="AE20" s="395" t="s">
        <v>485</v>
      </c>
      <c r="AF20" s="395" t="s">
        <v>486</v>
      </c>
      <c r="AG20" s="395" t="s">
        <v>487</v>
      </c>
      <c r="AH20" s="395" t="s">
        <v>360</v>
      </c>
      <c r="AI20" s="395" t="s">
        <v>90</v>
      </c>
      <c r="AJ20" s="395" t="s">
        <v>91</v>
      </c>
      <c r="AK20" s="395" t="s">
        <v>488</v>
      </c>
      <c r="AL20" s="395" t="s">
        <v>489</v>
      </c>
      <c r="AM20" s="395" t="s">
        <v>490</v>
      </c>
      <c r="AN20" s="382" t="s">
        <v>491</v>
      </c>
      <c r="AO20" s="395" t="s">
        <v>492</v>
      </c>
      <c r="AP20" s="381" t="s">
        <v>493</v>
      </c>
      <c r="AQ20" s="382" t="s">
        <v>494</v>
      </c>
      <c r="AR20" s="382" t="s">
        <v>495</v>
      </c>
      <c r="AS20" s="382" t="s">
        <v>496</v>
      </c>
      <c r="AT20" s="388" t="s">
        <v>497</v>
      </c>
      <c r="AU20" s="388" t="s">
        <v>498</v>
      </c>
      <c r="AV20" s="382" t="s">
        <v>519</v>
      </c>
      <c r="AW20" s="385" t="s">
        <v>499</v>
      </c>
      <c r="AX20" s="374" t="s">
        <v>500</v>
      </c>
      <c r="AY20" s="375" t="s">
        <v>501</v>
      </c>
      <c r="AZ20" s="375" t="s">
        <v>502</v>
      </c>
      <c r="BA20" s="374" t="s">
        <v>503</v>
      </c>
      <c r="BB20" s="367" t="s">
        <v>504</v>
      </c>
      <c r="BC20" s="367" t="s">
        <v>505</v>
      </c>
      <c r="BD20" s="367" t="s">
        <v>506</v>
      </c>
      <c r="BE20" s="367" t="s">
        <v>507</v>
      </c>
    </row>
    <row r="21" spans="1:57" s="17" customFormat="1" ht="14.4" customHeight="1">
      <c r="A21" s="17" t="s">
        <v>508</v>
      </c>
      <c r="B21" s="362">
        <v>610</v>
      </c>
      <c r="C21" s="360">
        <v>30237000</v>
      </c>
      <c r="D21" s="361" t="e">
        <f t="shared" ref="D21:E26" si="2">($AT21+$AU21*D$1)/453.6</f>
        <v>#VALUE!</v>
      </c>
      <c r="E21" s="359" t="e">
        <f t="shared" si="2"/>
        <v>#VALUE!</v>
      </c>
      <c r="F21" s="362" t="s">
        <v>509</v>
      </c>
      <c r="G21" s="369">
        <v>1.2749999999999999</v>
      </c>
      <c r="H21" s="369">
        <v>0.45568627450980398</v>
      </c>
      <c r="I21" s="369">
        <v>-0.78595070074061502</v>
      </c>
      <c r="J21" s="370">
        <v>581</v>
      </c>
      <c r="K21" s="370">
        <v>6.3647507568519099</v>
      </c>
      <c r="L21" s="370">
        <v>74</v>
      </c>
      <c r="M21" s="392">
        <v>4.3040650932041702</v>
      </c>
      <c r="N21" s="370">
        <v>36700</v>
      </c>
      <c r="O21" s="370">
        <v>3.6988297849671001</v>
      </c>
      <c r="P21" s="370">
        <v>4.9774547298849304E-3</v>
      </c>
      <c r="Q21" s="370" t="s">
        <v>510</v>
      </c>
      <c r="R21" s="397">
        <v>3</v>
      </c>
      <c r="S21" s="397">
        <v>0.33333333333333298</v>
      </c>
      <c r="T21" s="370"/>
      <c r="U21" s="372">
        <v>706.446014694827</v>
      </c>
      <c r="V21" s="372">
        <v>14.698751401731201</v>
      </c>
      <c r="W21" s="372">
        <v>1206.2035623536899</v>
      </c>
      <c r="X21" s="372">
        <v>235.48200489827599</v>
      </c>
      <c r="Y21" s="372">
        <v>4.8995838005770604</v>
      </c>
      <c r="Z21" s="372">
        <v>402.06785411789599</v>
      </c>
      <c r="AA21" s="370"/>
      <c r="AB21" s="372">
        <v>117.714407032141</v>
      </c>
      <c r="AC21" s="372">
        <v>18.7157990830475</v>
      </c>
      <c r="AD21" s="372">
        <v>754.05157585575603</v>
      </c>
      <c r="AE21" s="372">
        <v>39.238135677380399</v>
      </c>
      <c r="AF21" s="372">
        <v>6.2385996943491699</v>
      </c>
      <c r="AG21" s="372">
        <v>251.35052528525199</v>
      </c>
      <c r="AH21" s="370"/>
      <c r="AI21" s="372">
        <v>412.08021086348401</v>
      </c>
      <c r="AJ21" s="372">
        <v>16.7072752423894</v>
      </c>
      <c r="AK21" s="372">
        <v>980.12756910472297</v>
      </c>
      <c r="AL21" s="372">
        <v>137.36007028782799</v>
      </c>
      <c r="AM21" s="372">
        <v>5.5690917474631201</v>
      </c>
      <c r="AN21" s="372">
        <v>326.70918970157402</v>
      </c>
      <c r="AO21" s="372">
        <v>0.57956471805002796</v>
      </c>
      <c r="AP21" s="383"/>
      <c r="AQ21" s="383">
        <v>284.66362687986998</v>
      </c>
      <c r="AR21" s="383">
        <v>23.390185339345098</v>
      </c>
      <c r="AS21" s="383">
        <v>1079.9299284176</v>
      </c>
      <c r="AT21" s="389">
        <v>94.887875626623199</v>
      </c>
      <c r="AU21" s="389">
        <v>7.7967284464483502</v>
      </c>
      <c r="AV21" s="383">
        <v>359.97664280586702</v>
      </c>
      <c r="AW21" s="386">
        <v>0.73640546540183305</v>
      </c>
      <c r="AX21" s="376"/>
      <c r="AY21" s="377">
        <v>2296.2195660635498</v>
      </c>
      <c r="AZ21" s="377">
        <v>765.40652202118201</v>
      </c>
      <c r="BA21" s="376">
        <v>0.87602943939377997</v>
      </c>
      <c r="BB21" s="373"/>
      <c r="BC21" s="373">
        <f t="shared" ref="BC21:BE26" si="3">STDEV(AB21,U21)/AI21</f>
        <v>1.0102307781410449</v>
      </c>
      <c r="BD21" s="373">
        <f t="shared" si="3"/>
        <v>0.1700146561661742</v>
      </c>
      <c r="BE21" s="373">
        <f t="shared" si="3"/>
        <v>0.32620216577694949</v>
      </c>
    </row>
    <row r="22" spans="1:57" s="17" customFormat="1" ht="14.4">
      <c r="A22" s="17" t="s">
        <v>508</v>
      </c>
      <c r="B22" s="17">
        <v>597</v>
      </c>
      <c r="C22" s="358">
        <v>29875000</v>
      </c>
      <c r="D22" s="361" t="e">
        <f t="shared" si="2"/>
        <v>#VALUE!</v>
      </c>
      <c r="E22" s="359" t="e">
        <f t="shared" si="2"/>
        <v>#VALUE!</v>
      </c>
      <c r="F22" s="17" t="s">
        <v>511</v>
      </c>
      <c r="G22" s="371">
        <v>3.7039</v>
      </c>
      <c r="H22" s="371">
        <v>3.25872728745377E-2</v>
      </c>
      <c r="I22" s="371">
        <v>-3.4238334694579602</v>
      </c>
      <c r="J22" s="372">
        <v>120.7</v>
      </c>
      <c r="K22" s="372">
        <v>4.7933081281034902</v>
      </c>
      <c r="L22" s="372">
        <v>46</v>
      </c>
      <c r="M22" s="393">
        <v>3.8286413964891</v>
      </c>
      <c r="N22" s="372">
        <v>25070</v>
      </c>
      <c r="O22" s="372">
        <v>3.6054978451748898</v>
      </c>
      <c r="P22" s="372">
        <v>0.30109127298524102</v>
      </c>
      <c r="Q22" s="372" t="s">
        <v>512</v>
      </c>
      <c r="R22" s="380">
        <v>4</v>
      </c>
      <c r="S22" s="380">
        <v>0.4</v>
      </c>
      <c r="T22" s="372"/>
      <c r="U22" s="372">
        <v>415.000471884467</v>
      </c>
      <c r="V22" s="372">
        <v>0.61548992503981603</v>
      </c>
      <c r="W22" s="372">
        <v>435.92712933582101</v>
      </c>
      <c r="X22" s="372">
        <v>166.000188753787</v>
      </c>
      <c r="Y22" s="372">
        <v>0.246195970015927</v>
      </c>
      <c r="Z22" s="372">
        <v>174.370851734328</v>
      </c>
      <c r="AA22" s="372"/>
      <c r="AB22" s="372">
        <v>13.4975533595792</v>
      </c>
      <c r="AC22" s="372">
        <v>1.35253127053264</v>
      </c>
      <c r="AD22" s="372">
        <v>59.483616557688798</v>
      </c>
      <c r="AE22" s="372">
        <v>5.3990213438316603</v>
      </c>
      <c r="AF22" s="372">
        <v>0.54101250821305402</v>
      </c>
      <c r="AG22" s="372">
        <v>23.7934466230755</v>
      </c>
      <c r="AH22" s="372"/>
      <c r="AI22" s="372">
        <v>214.249012622023</v>
      </c>
      <c r="AJ22" s="372">
        <v>0.98401059778622801</v>
      </c>
      <c r="AK22" s="372">
        <v>247.70537294675501</v>
      </c>
      <c r="AL22" s="372">
        <v>85.699605048809303</v>
      </c>
      <c r="AM22" s="372">
        <v>0.39360423911449</v>
      </c>
      <c r="AN22" s="372">
        <v>99.082149178701798</v>
      </c>
      <c r="AO22" s="372">
        <v>0.135065137775285</v>
      </c>
      <c r="AP22" s="383"/>
      <c r="AQ22" s="383">
        <v>182.04731413894501</v>
      </c>
      <c r="AR22" s="383">
        <v>1.37761483690072</v>
      </c>
      <c r="AS22" s="383">
        <v>228.886218593569</v>
      </c>
      <c r="AT22" s="389">
        <v>72.818925655577999</v>
      </c>
      <c r="AU22" s="389">
        <v>0.55104593476028796</v>
      </c>
      <c r="AV22" s="383">
        <v>91.554487437427795</v>
      </c>
      <c r="AW22" s="386">
        <v>0.20463837771637899</v>
      </c>
      <c r="AX22" s="376"/>
      <c r="AY22" s="377">
        <v>300.52219011240697</v>
      </c>
      <c r="AZ22" s="377">
        <v>120.20887604496301</v>
      </c>
      <c r="BA22" s="376">
        <v>0.39423004314306298</v>
      </c>
      <c r="BB22" s="373"/>
      <c r="BC22" s="373">
        <f t="shared" si="3"/>
        <v>1.3251189953253253</v>
      </c>
      <c r="BD22" s="373">
        <f t="shared" si="3"/>
        <v>0.52963548826133089</v>
      </c>
      <c r="BE22" s="373">
        <f t="shared" si="3"/>
        <v>1.0746063254603664</v>
      </c>
    </row>
    <row r="23" spans="1:57" s="17" customFormat="1" ht="14.4" customHeight="1">
      <c r="A23" s="17" t="s">
        <v>508</v>
      </c>
      <c r="B23" s="17">
        <v>870</v>
      </c>
      <c r="C23" s="360">
        <v>23600000</v>
      </c>
      <c r="D23" s="361" t="e">
        <f t="shared" si="2"/>
        <v>#VALUE!</v>
      </c>
      <c r="E23" s="359" t="e">
        <f t="shared" si="2"/>
        <v>#VALUE!</v>
      </c>
      <c r="F23" s="17" t="s">
        <v>513</v>
      </c>
      <c r="G23" s="371">
        <v>1.8512</v>
      </c>
      <c r="H23" s="371">
        <v>0.590211754537592</v>
      </c>
      <c r="I23" s="371">
        <v>-0.52727390047780398</v>
      </c>
      <c r="J23" s="372">
        <v>1092.5999999999899</v>
      </c>
      <c r="K23" s="372">
        <v>6.9963154559616099</v>
      </c>
      <c r="L23" s="372">
        <v>43</v>
      </c>
      <c r="M23" s="393">
        <v>3.7612001156935602</v>
      </c>
      <c r="N23" s="372">
        <v>29110</v>
      </c>
      <c r="O23" s="372">
        <v>3.45631668088323</v>
      </c>
      <c r="P23" s="372">
        <v>2.6071178083967501</v>
      </c>
      <c r="Q23" s="372" t="s">
        <v>514</v>
      </c>
      <c r="R23" s="380">
        <v>5</v>
      </c>
      <c r="S23" s="380">
        <v>0.266666666666667</v>
      </c>
      <c r="T23" s="372"/>
      <c r="U23" s="372">
        <v>814.98782909561601</v>
      </c>
      <c r="V23" s="372">
        <v>10.059565784083301</v>
      </c>
      <c r="W23" s="372">
        <v>1157.0130657544501</v>
      </c>
      <c r="X23" s="372">
        <v>217.33008775883101</v>
      </c>
      <c r="Y23" s="372">
        <v>2.6825508757555498</v>
      </c>
      <c r="Z23" s="372">
        <v>308.53681753452003</v>
      </c>
      <c r="AA23" s="372"/>
      <c r="AB23" s="372">
        <v>268.851719079715</v>
      </c>
      <c r="AC23" s="372">
        <v>20.196126253145501</v>
      </c>
      <c r="AD23" s="372">
        <v>955.520011686663</v>
      </c>
      <c r="AE23" s="372">
        <v>71.693791754590706</v>
      </c>
      <c r="AF23" s="372">
        <v>5.3856336675054699</v>
      </c>
      <c r="AG23" s="372">
        <v>254.805336449777</v>
      </c>
      <c r="AH23" s="372"/>
      <c r="AI23" s="372">
        <v>541.91977408766502</v>
      </c>
      <c r="AJ23" s="372">
        <v>15.127846018614401</v>
      </c>
      <c r="AK23" s="372">
        <v>1056.26653872056</v>
      </c>
      <c r="AL23" s="372">
        <v>144.511939756711</v>
      </c>
      <c r="AM23" s="372">
        <v>4.0340922716305103</v>
      </c>
      <c r="AN23" s="372">
        <v>281.67107699214898</v>
      </c>
      <c r="AO23" s="372">
        <v>0.48694789220144402</v>
      </c>
      <c r="AP23" s="383"/>
      <c r="AQ23" s="383">
        <v>404.60512405399299</v>
      </c>
      <c r="AR23" s="383">
        <v>21.1789844260602</v>
      </c>
      <c r="AS23" s="383">
        <v>1124.6905945400399</v>
      </c>
      <c r="AT23" s="389">
        <v>107.89469974773201</v>
      </c>
      <c r="AU23" s="389">
        <v>5.6477291802827203</v>
      </c>
      <c r="AV23" s="383">
        <v>299.91749187734399</v>
      </c>
      <c r="AW23" s="386">
        <v>0.640252060417147</v>
      </c>
      <c r="AX23" s="376"/>
      <c r="AY23" s="377">
        <v>2225.9977846951701</v>
      </c>
      <c r="AZ23" s="377">
        <v>593.59940925204501</v>
      </c>
      <c r="BA23" s="376">
        <v>0.81823651090946603</v>
      </c>
      <c r="BB23" s="373"/>
      <c r="BC23" s="373">
        <f t="shared" si="3"/>
        <v>0.71260833301981563</v>
      </c>
      <c r="BD23" s="373">
        <f t="shared" si="3"/>
        <v>0.47380378123638994</v>
      </c>
      <c r="BE23" s="373">
        <f t="shared" si="3"/>
        <v>0.13488745470049662</v>
      </c>
    </row>
    <row r="24" spans="1:57" s="17" customFormat="1" ht="14.4">
      <c r="A24" s="17" t="s">
        <v>508</v>
      </c>
      <c r="B24" s="17">
        <v>307</v>
      </c>
      <c r="C24" s="360">
        <v>19100000</v>
      </c>
      <c r="D24" s="361" t="e">
        <f t="shared" si="2"/>
        <v>#VALUE!</v>
      </c>
      <c r="E24" s="359" t="e">
        <f t="shared" si="2"/>
        <v>#VALUE!</v>
      </c>
      <c r="F24" s="17" t="s">
        <v>515</v>
      </c>
      <c r="G24" s="371">
        <v>0.58425000000000005</v>
      </c>
      <c r="H24" s="371">
        <v>1.3935815147625199</v>
      </c>
      <c r="I24" s="371">
        <v>0.33187706264991101</v>
      </c>
      <c r="J24" s="372">
        <v>814.2</v>
      </c>
      <c r="K24" s="372">
        <v>6.7022060360688798</v>
      </c>
      <c r="L24" s="372">
        <v>52</v>
      </c>
      <c r="M24" s="393">
        <v>3.9512437185814302</v>
      </c>
      <c r="N24" s="372">
        <v>23560</v>
      </c>
      <c r="O24" s="372">
        <v>3.4144426084121799</v>
      </c>
      <c r="P24" s="372">
        <v>1.8938598406002299E-2</v>
      </c>
      <c r="Q24" s="372" t="s">
        <v>514</v>
      </c>
      <c r="R24" s="380">
        <v>5</v>
      </c>
      <c r="S24" s="380">
        <v>0.266666666666667</v>
      </c>
      <c r="T24" s="372"/>
      <c r="U24" s="372">
        <v>973.89615334139205</v>
      </c>
      <c r="V24" s="372">
        <v>19.885504924017201</v>
      </c>
      <c r="W24" s="372">
        <v>1650.00332075798</v>
      </c>
      <c r="X24" s="372">
        <v>259.705640891038</v>
      </c>
      <c r="Y24" s="372">
        <v>5.3028013130712504</v>
      </c>
      <c r="Z24" s="372">
        <v>440.00088553546101</v>
      </c>
      <c r="AA24" s="372"/>
      <c r="AB24" s="372">
        <v>527.37043366462399</v>
      </c>
      <c r="AC24" s="372">
        <v>28.909269488719499</v>
      </c>
      <c r="AD24" s="372">
        <v>1510.28559628109</v>
      </c>
      <c r="AE24" s="372">
        <v>140.63211564389999</v>
      </c>
      <c r="AF24" s="372">
        <v>7.7091385303252098</v>
      </c>
      <c r="AG24" s="372">
        <v>402.74282567495698</v>
      </c>
      <c r="AH24" s="372"/>
      <c r="AI24" s="372">
        <v>750.63329350300796</v>
      </c>
      <c r="AJ24" s="372">
        <v>24.3973872063684</v>
      </c>
      <c r="AK24" s="372">
        <v>1580.14445851953</v>
      </c>
      <c r="AL24" s="372">
        <v>200.16887826746901</v>
      </c>
      <c r="AM24" s="372">
        <v>6.5059699216982301</v>
      </c>
      <c r="AN24" s="372">
        <v>421.37185560520902</v>
      </c>
      <c r="AO24" s="372">
        <v>0.52495906975094397</v>
      </c>
      <c r="AP24" s="383"/>
      <c r="AQ24" s="383">
        <v>545.21451389546803</v>
      </c>
      <c r="AR24" s="383">
        <v>34.1563420889157</v>
      </c>
      <c r="AS24" s="383">
        <v>1706.5301449185999</v>
      </c>
      <c r="AT24" s="389">
        <v>145.39053703879199</v>
      </c>
      <c r="AU24" s="389">
        <v>9.1083578903775297</v>
      </c>
      <c r="AV24" s="383">
        <v>455.07470531162801</v>
      </c>
      <c r="AW24" s="386">
        <v>0.68051281395824703</v>
      </c>
      <c r="AX24" s="376"/>
      <c r="AY24" s="377">
        <v>3482.6599335422202</v>
      </c>
      <c r="AZ24" s="377">
        <v>928.70931561125894</v>
      </c>
      <c r="BA24" s="376">
        <v>0.84344882236580299</v>
      </c>
      <c r="BB24" s="373"/>
      <c r="BC24" s="373">
        <f t="shared" si="3"/>
        <v>0.42063330668982785</v>
      </c>
      <c r="BD24" s="373">
        <f t="shared" si="3"/>
        <v>0.26153477261968094</v>
      </c>
      <c r="BE24" s="373">
        <f t="shared" si="3"/>
        <v>6.2522986361719102E-2</v>
      </c>
    </row>
    <row r="25" spans="1:57" s="17" customFormat="1" ht="14.4">
      <c r="A25" s="17" t="s">
        <v>508</v>
      </c>
      <c r="B25" s="17">
        <v>1753</v>
      </c>
      <c r="C25" s="360">
        <v>7535400</v>
      </c>
      <c r="D25" s="361" t="e">
        <f t="shared" si="2"/>
        <v>#VALUE!</v>
      </c>
      <c r="E25" s="359" t="e">
        <f t="shared" si="2"/>
        <v>#VALUE!</v>
      </c>
      <c r="F25" s="17" t="s">
        <v>516</v>
      </c>
      <c r="G25" s="371">
        <v>1.2863</v>
      </c>
      <c r="H25" s="371">
        <v>0.44686309570084698</v>
      </c>
      <c r="I25" s="371">
        <v>-0.80550300487980198</v>
      </c>
      <c r="J25" s="372">
        <v>574.79999999999905</v>
      </c>
      <c r="K25" s="372">
        <v>6.3540221542048698</v>
      </c>
      <c r="L25" s="372">
        <v>65</v>
      </c>
      <c r="M25" s="393">
        <v>4.1743872698956404</v>
      </c>
      <c r="N25" s="372">
        <v>7560</v>
      </c>
      <c r="O25" s="372">
        <v>3.4594662897861301</v>
      </c>
      <c r="P25" s="372">
        <v>56.665993820347403</v>
      </c>
      <c r="Q25" s="372" t="s">
        <v>517</v>
      </c>
      <c r="R25" s="380">
        <v>4</v>
      </c>
      <c r="S25" s="380">
        <v>0.3</v>
      </c>
      <c r="T25" s="372"/>
      <c r="U25" s="372">
        <v>703.0209111703</v>
      </c>
      <c r="V25" s="372">
        <v>5.3872087525955301</v>
      </c>
      <c r="W25" s="372">
        <v>886.18600875854804</v>
      </c>
      <c r="X25" s="372">
        <v>210.90627335108999</v>
      </c>
      <c r="Y25" s="372">
        <v>1.6161626257786601</v>
      </c>
      <c r="Z25" s="372">
        <v>265.85580262756503</v>
      </c>
      <c r="AA25" s="372"/>
      <c r="AB25" s="372">
        <v>411.45238462935703</v>
      </c>
      <c r="AC25" s="372">
        <v>4.2311208159636697</v>
      </c>
      <c r="AD25" s="372">
        <v>555.31049237212198</v>
      </c>
      <c r="AE25" s="372">
        <v>123.435715388807</v>
      </c>
      <c r="AF25" s="372">
        <v>1.2693362447890999</v>
      </c>
      <c r="AG25" s="372">
        <v>166.59314771163699</v>
      </c>
      <c r="AH25" s="372"/>
      <c r="AI25" s="372">
        <v>557.23664789982899</v>
      </c>
      <c r="AJ25" s="372">
        <v>4.8091647842796004</v>
      </c>
      <c r="AK25" s="372">
        <v>720.74825056533496</v>
      </c>
      <c r="AL25" s="372">
        <v>167.170994369948</v>
      </c>
      <c r="AM25" s="372">
        <v>1.4427494352838801</v>
      </c>
      <c r="AN25" s="372">
        <v>216.22447516960099</v>
      </c>
      <c r="AO25" s="372">
        <v>0.22686368303669499</v>
      </c>
      <c r="AP25" s="383"/>
      <c r="AQ25" s="383">
        <v>463.539375326335</v>
      </c>
      <c r="AR25" s="383">
        <v>6.7328306979914396</v>
      </c>
      <c r="AS25" s="383">
        <v>692.45561905804402</v>
      </c>
      <c r="AT25" s="389">
        <v>139.0618125979</v>
      </c>
      <c r="AU25" s="389">
        <v>2.0198492093974298</v>
      </c>
      <c r="AV25" s="383">
        <v>207.736685717413</v>
      </c>
      <c r="AW25" s="386">
        <v>0.33058615950449899</v>
      </c>
      <c r="AX25" s="376"/>
      <c r="AY25" s="377">
        <v>1042.5628153535999</v>
      </c>
      <c r="AZ25" s="377">
        <v>312.76884460607999</v>
      </c>
      <c r="BA25" s="376">
        <v>0.55538470344434898</v>
      </c>
      <c r="BB25" s="373"/>
      <c r="BC25" s="373">
        <f t="shared" si="3"/>
        <v>0.36998658123923694</v>
      </c>
      <c r="BD25" s="373">
        <f t="shared" si="3"/>
        <v>0.16998328323299489</v>
      </c>
      <c r="BE25" s="373">
        <f t="shared" si="3"/>
        <v>0.32461309643405667</v>
      </c>
    </row>
    <row r="26" spans="1:57" s="17" customFormat="1" ht="14.4">
      <c r="A26" s="17" t="s">
        <v>508</v>
      </c>
      <c r="B26" s="362">
        <v>1275</v>
      </c>
      <c r="C26" s="360">
        <v>6520000</v>
      </c>
      <c r="D26" s="361" t="e">
        <f t="shared" si="2"/>
        <v>#VALUE!</v>
      </c>
      <c r="E26" s="359" t="e">
        <f t="shared" si="2"/>
        <v>#VALUE!</v>
      </c>
      <c r="F26" s="362" t="s">
        <v>518</v>
      </c>
      <c r="G26" s="369">
        <v>7.0049E-2</v>
      </c>
      <c r="H26" s="369">
        <v>5.42620165883881</v>
      </c>
      <c r="I26" s="369">
        <v>1.6912393788315701</v>
      </c>
      <c r="J26" s="370">
        <v>380.1</v>
      </c>
      <c r="K26" s="370">
        <v>5.9404343759952001</v>
      </c>
      <c r="L26" s="370">
        <v>44</v>
      </c>
      <c r="M26" s="392">
        <v>3.7841896339182601</v>
      </c>
      <c r="N26" s="370">
        <v>7815.6</v>
      </c>
      <c r="O26" s="370">
        <v>3.5322256440685602</v>
      </c>
      <c r="P26" s="370">
        <v>17.915522481780801</v>
      </c>
      <c r="Q26" s="370" t="s">
        <v>510</v>
      </c>
      <c r="R26" s="397">
        <v>4</v>
      </c>
      <c r="S26" s="397">
        <v>0.3</v>
      </c>
      <c r="T26" s="370"/>
      <c r="U26" s="372">
        <v>1857.54964510934</v>
      </c>
      <c r="V26" s="372">
        <v>190.34668305887001</v>
      </c>
      <c r="W26" s="372">
        <v>8329.3368691109008</v>
      </c>
      <c r="X26" s="372">
        <v>557.26489353280101</v>
      </c>
      <c r="Y26" s="372">
        <v>57.104004917660902</v>
      </c>
      <c r="Z26" s="372">
        <v>2498.8010607332699</v>
      </c>
      <c r="AA26" s="370"/>
      <c r="AB26" s="372">
        <v>3341.3472553625002</v>
      </c>
      <c r="AC26" s="372">
        <v>179.38998027105899</v>
      </c>
      <c r="AD26" s="372">
        <v>9440.6065845784906</v>
      </c>
      <c r="AE26" s="372">
        <v>1002.40417660875</v>
      </c>
      <c r="AF26" s="372">
        <v>53.816994081317603</v>
      </c>
      <c r="AG26" s="372">
        <v>2832.1819753735499</v>
      </c>
      <c r="AH26" s="370"/>
      <c r="AI26" s="372">
        <v>2599.4484502359201</v>
      </c>
      <c r="AJ26" s="372">
        <v>184.86833166496501</v>
      </c>
      <c r="AK26" s="372">
        <v>8884.9717268446893</v>
      </c>
      <c r="AL26" s="372">
        <v>779.83453507077502</v>
      </c>
      <c r="AM26" s="372">
        <v>55.460499499489302</v>
      </c>
      <c r="AN26" s="372">
        <v>2665.4915180534099</v>
      </c>
      <c r="AO26" s="372">
        <v>0.70743312076255305</v>
      </c>
      <c r="AP26" s="383"/>
      <c r="AQ26" s="383">
        <v>1444.40212574611</v>
      </c>
      <c r="AR26" s="383">
        <v>258.81566433095003</v>
      </c>
      <c r="AS26" s="383">
        <v>10244.134712998401</v>
      </c>
      <c r="AT26" s="389">
        <v>433.32063772383299</v>
      </c>
      <c r="AU26" s="389">
        <v>77.644699299285094</v>
      </c>
      <c r="AV26" s="383">
        <v>3073.2404138995298</v>
      </c>
      <c r="AW26" s="386">
        <v>0.85900203714488799</v>
      </c>
      <c r="AX26" s="376"/>
      <c r="AY26" s="377">
        <v>23702.5492582078</v>
      </c>
      <c r="AZ26" s="377">
        <v>7110.7647774623501</v>
      </c>
      <c r="BA26" s="376">
        <v>0.93906131741310805</v>
      </c>
      <c r="BB26" s="373"/>
      <c r="BC26" s="373">
        <f t="shared" si="3"/>
        <v>0.40362537369155382</v>
      </c>
      <c r="BD26" s="373">
        <f t="shared" si="3"/>
        <v>4.1908523601259885E-2</v>
      </c>
      <c r="BE26" s="373">
        <f t="shared" si="3"/>
        <v>8.8439938324196943E-2</v>
      </c>
    </row>
    <row r="27" spans="1:57" s="17" customFormat="1" ht="14.4">
      <c r="B27" s="362"/>
      <c r="C27" s="360"/>
      <c r="D27" s="361"/>
      <c r="E27" s="359"/>
      <c r="F27" s="362"/>
      <c r="G27" s="369"/>
      <c r="H27" s="369"/>
      <c r="I27" s="369"/>
      <c r="J27" s="370"/>
      <c r="K27" s="370"/>
      <c r="L27" s="370"/>
      <c r="M27" s="392"/>
      <c r="N27" s="370"/>
      <c r="O27" s="370"/>
      <c r="P27" s="370"/>
      <c r="Q27" s="370"/>
      <c r="R27" s="397"/>
      <c r="S27" s="397"/>
      <c r="T27" s="370"/>
      <c r="U27" s="372"/>
      <c r="V27" s="372"/>
      <c r="W27" s="372"/>
      <c r="X27" s="372"/>
      <c r="Y27" s="372"/>
      <c r="Z27" s="372"/>
      <c r="AA27" s="370"/>
      <c r="AB27" s="372"/>
      <c r="AC27" s="372"/>
      <c r="AD27" s="372"/>
      <c r="AE27" s="372"/>
      <c r="AF27" s="372"/>
      <c r="AG27" s="372"/>
      <c r="AH27" s="370"/>
      <c r="AI27" s="372"/>
      <c r="AJ27" s="372"/>
      <c r="AK27" s="372"/>
      <c r="AL27" s="372"/>
      <c r="AM27" s="372"/>
      <c r="AN27" s="372"/>
      <c r="AO27" s="372"/>
      <c r="AP27" s="383"/>
      <c r="AQ27" s="383"/>
      <c r="AR27" s="383"/>
      <c r="AS27" s="383"/>
      <c r="AT27" s="389"/>
      <c r="AU27" s="389"/>
      <c r="AV27" s="383"/>
      <c r="AW27" s="386"/>
      <c r="AX27" s="376"/>
      <c r="AY27" s="377"/>
      <c r="AZ27" s="377"/>
      <c r="BA27" s="376"/>
      <c r="BB27" s="373"/>
      <c r="BC27" s="373"/>
      <c r="BD27" s="373"/>
      <c r="BE27" s="373"/>
    </row>
    <row r="28" spans="1:57">
      <c r="A28" s="400" t="s">
        <v>612</v>
      </c>
    </row>
    <row r="29" spans="1:57" s="365" customFormat="1" ht="61.2">
      <c r="A29" s="402" t="s">
        <v>613</v>
      </c>
      <c r="B29" s="402" t="s">
        <v>578</v>
      </c>
      <c r="C29" s="402" t="s">
        <v>579</v>
      </c>
      <c r="D29" s="402" t="s">
        <v>580</v>
      </c>
      <c r="E29" s="402" t="s">
        <v>581</v>
      </c>
      <c r="F29" s="402" t="s">
        <v>582</v>
      </c>
      <c r="G29" s="402" t="s">
        <v>583</v>
      </c>
      <c r="H29" s="402" t="s">
        <v>584</v>
      </c>
      <c r="I29" s="403" t="s">
        <v>585</v>
      </c>
      <c r="J29" s="403" t="s">
        <v>586</v>
      </c>
      <c r="K29" s="402" t="s">
        <v>587</v>
      </c>
      <c r="L29" s="402" t="s">
        <v>588</v>
      </c>
      <c r="M29" s="445" t="s">
        <v>589</v>
      </c>
      <c r="N29" s="402" t="s">
        <v>590</v>
      </c>
      <c r="O29" s="402" t="s">
        <v>591</v>
      </c>
      <c r="P29" s="402" t="s">
        <v>592</v>
      </c>
      <c r="Q29" s="402" t="s">
        <v>593</v>
      </c>
      <c r="R29" s="402" t="s">
        <v>594</v>
      </c>
      <c r="S29" s="402" t="s">
        <v>595</v>
      </c>
      <c r="T29" s="402" t="s">
        <v>596</v>
      </c>
      <c r="U29" s="402" t="s">
        <v>597</v>
      </c>
      <c r="V29" s="402" t="s">
        <v>598</v>
      </c>
      <c r="W29" s="403" t="s">
        <v>599</v>
      </c>
      <c r="X29" s="402" t="s">
        <v>600</v>
      </c>
      <c r="Y29" s="402" t="s">
        <v>601</v>
      </c>
      <c r="Z29" s="402" t="s">
        <v>602</v>
      </c>
      <c r="AA29" s="402" t="s">
        <v>603</v>
      </c>
      <c r="AB29" s="402" t="s">
        <v>604</v>
      </c>
      <c r="AC29" s="402" t="s">
        <v>605</v>
      </c>
      <c r="AD29" s="402" t="s">
        <v>606</v>
      </c>
      <c r="AE29" s="402" t="s">
        <v>607</v>
      </c>
      <c r="AF29" s="402" t="s">
        <v>608</v>
      </c>
      <c r="AG29" s="402" t="s">
        <v>609</v>
      </c>
      <c r="AH29" s="404" t="s">
        <v>610</v>
      </c>
      <c r="AI29" s="405" t="s">
        <v>611</v>
      </c>
      <c r="AJ29" s="394"/>
      <c r="AK29" s="394"/>
      <c r="AL29" s="394"/>
      <c r="AM29" s="394"/>
      <c r="AN29" s="394"/>
      <c r="AO29" s="394"/>
      <c r="AT29" s="387"/>
      <c r="AU29" s="387"/>
      <c r="AW29" s="384"/>
    </row>
    <row r="30" spans="1:57" s="365" customFormat="1" ht="10.199999999999999">
      <c r="A30" s="394">
        <f>AI30/J21</f>
        <v>269.87951807228916</v>
      </c>
      <c r="B30" s="406">
        <f>AI30</f>
        <v>156800</v>
      </c>
      <c r="C30" s="407">
        <v>58571</v>
      </c>
      <c r="D30" s="365" t="s">
        <v>522</v>
      </c>
      <c r="E30" s="365" t="s">
        <v>523</v>
      </c>
      <c r="H30" s="365" t="s">
        <v>524</v>
      </c>
      <c r="I30" s="408">
        <v>-114.73739999999999</v>
      </c>
      <c r="J30" s="408">
        <v>36.016300000000001</v>
      </c>
      <c r="L30" s="365" t="s">
        <v>525</v>
      </c>
      <c r="M30" s="419" t="s">
        <v>526</v>
      </c>
      <c r="N30" s="365" t="s">
        <v>527</v>
      </c>
      <c r="O30" s="407">
        <v>70</v>
      </c>
      <c r="P30" s="365" t="s">
        <v>528</v>
      </c>
      <c r="Q30" s="365" t="s">
        <v>529</v>
      </c>
      <c r="S30" s="365" t="s">
        <v>530</v>
      </c>
      <c r="T30" s="365" t="s">
        <v>531</v>
      </c>
      <c r="U30" s="365" t="s">
        <v>532</v>
      </c>
      <c r="V30" s="365" t="s">
        <v>533</v>
      </c>
      <c r="W30" s="409" t="s">
        <v>534</v>
      </c>
      <c r="X30" s="407">
        <v>1935</v>
      </c>
      <c r="Z30" s="407">
        <v>1244</v>
      </c>
      <c r="AA30" s="407">
        <v>730</v>
      </c>
      <c r="AB30" s="407">
        <v>730</v>
      </c>
      <c r="AC30" s="407">
        <v>592</v>
      </c>
      <c r="AD30" s="407">
        <v>730</v>
      </c>
      <c r="AE30" s="407">
        <v>200000</v>
      </c>
      <c r="AF30" s="407">
        <v>30237000</v>
      </c>
      <c r="AG30" s="407">
        <v>28255000</v>
      </c>
      <c r="AH30" s="410">
        <v>30237000</v>
      </c>
      <c r="AI30" s="411">
        <v>156800</v>
      </c>
      <c r="AJ30" s="394"/>
      <c r="AK30" s="394"/>
      <c r="AL30" s="394"/>
      <c r="AM30" s="394"/>
      <c r="AN30" s="394"/>
      <c r="AO30" s="394"/>
      <c r="AT30" s="387"/>
      <c r="AU30" s="387"/>
      <c r="AW30" s="384"/>
    </row>
    <row r="31" spans="1:57" s="365" customFormat="1" ht="10.199999999999999">
      <c r="A31" s="394">
        <f t="shared" ref="A31:A35" si="4">AI31/J22</f>
        <v>1332.0961060480529</v>
      </c>
      <c r="B31" s="406">
        <f t="shared" ref="B31:B35" si="5">AI31</f>
        <v>160784</v>
      </c>
      <c r="C31" s="407">
        <v>3918</v>
      </c>
      <c r="D31" s="365" t="s">
        <v>535</v>
      </c>
      <c r="H31" s="365" t="s">
        <v>536</v>
      </c>
      <c r="I31" s="408">
        <v>-111.4842</v>
      </c>
      <c r="J31" s="408">
        <v>36.937899999999999</v>
      </c>
      <c r="K31" s="365" t="s">
        <v>537</v>
      </c>
      <c r="L31" s="365" t="s">
        <v>538</v>
      </c>
      <c r="M31" s="419" t="s">
        <v>526</v>
      </c>
      <c r="N31" s="365" t="s">
        <v>539</v>
      </c>
      <c r="O31" s="407">
        <v>15</v>
      </c>
      <c r="P31" s="365" t="s">
        <v>528</v>
      </c>
      <c r="Q31" s="365" t="s">
        <v>529</v>
      </c>
      <c r="S31" s="365" t="s">
        <v>530</v>
      </c>
      <c r="T31" s="365" t="s">
        <v>540</v>
      </c>
      <c r="U31" s="365" t="s">
        <v>532</v>
      </c>
      <c r="V31" s="365" t="s">
        <v>533</v>
      </c>
      <c r="W31" s="409" t="s">
        <v>541</v>
      </c>
      <c r="X31" s="407">
        <v>1963</v>
      </c>
      <c r="Z31" s="407">
        <v>1565</v>
      </c>
      <c r="AA31" s="407">
        <v>710</v>
      </c>
      <c r="AB31" s="407">
        <v>710</v>
      </c>
      <c r="AC31" s="407">
        <v>579</v>
      </c>
      <c r="AD31" s="407">
        <v>710</v>
      </c>
      <c r="AE31" s="407">
        <v>276000</v>
      </c>
      <c r="AF31" s="407">
        <v>29875000</v>
      </c>
      <c r="AG31" s="407">
        <v>27000000</v>
      </c>
      <c r="AH31" s="410">
        <v>29875000</v>
      </c>
      <c r="AI31" s="411">
        <v>160784</v>
      </c>
      <c r="AJ31" s="394"/>
      <c r="AK31" s="394"/>
      <c r="AL31" s="394"/>
      <c r="AM31" s="394"/>
      <c r="AN31" s="394"/>
      <c r="AO31" s="394"/>
      <c r="AT31" s="387"/>
      <c r="AU31" s="387"/>
      <c r="AW31" s="384"/>
    </row>
    <row r="32" spans="1:57" s="365" customFormat="1" ht="10.199999999999999">
      <c r="A32" s="394">
        <f t="shared" si="4"/>
        <v>344.13326011349392</v>
      </c>
      <c r="B32" s="406">
        <f t="shared" si="5"/>
        <v>376000</v>
      </c>
      <c r="C32" s="407">
        <v>73327</v>
      </c>
      <c r="D32" s="365" t="s">
        <v>549</v>
      </c>
      <c r="E32" s="365" t="s">
        <v>550</v>
      </c>
      <c r="H32" s="365" t="s">
        <v>551</v>
      </c>
      <c r="I32" s="408">
        <v>-100.3867</v>
      </c>
      <c r="J32" s="408">
        <v>44.450001</v>
      </c>
      <c r="L32" s="365" t="s">
        <v>552</v>
      </c>
      <c r="M32" s="419" t="s">
        <v>542</v>
      </c>
      <c r="N32" s="365" t="s">
        <v>553</v>
      </c>
      <c r="O32" s="407">
        <v>6</v>
      </c>
      <c r="P32" s="365" t="s">
        <v>543</v>
      </c>
      <c r="Q32" s="365" t="s">
        <v>529</v>
      </c>
      <c r="R32" s="365" t="s">
        <v>543</v>
      </c>
      <c r="S32" s="365" t="s">
        <v>530</v>
      </c>
      <c r="T32" s="365" t="s">
        <v>544</v>
      </c>
      <c r="U32" s="365" t="s">
        <v>545</v>
      </c>
      <c r="V32" s="365" t="s">
        <v>546</v>
      </c>
      <c r="W32" s="409" t="s">
        <v>548</v>
      </c>
      <c r="X32" s="407">
        <v>1966</v>
      </c>
      <c r="Z32" s="407">
        <v>9300</v>
      </c>
      <c r="AA32" s="365" t="s">
        <v>547</v>
      </c>
      <c r="AB32" s="407">
        <v>245</v>
      </c>
      <c r="AC32" s="407">
        <v>200</v>
      </c>
      <c r="AD32" s="407">
        <v>245</v>
      </c>
      <c r="AE32" s="407">
        <v>300000</v>
      </c>
      <c r="AF32" s="407">
        <v>23600000</v>
      </c>
      <c r="AG32" s="407">
        <v>19300000</v>
      </c>
      <c r="AH32" s="410">
        <v>23600000</v>
      </c>
      <c r="AI32" s="411">
        <v>376000</v>
      </c>
      <c r="AJ32" s="394"/>
      <c r="AK32" s="394"/>
      <c r="AL32" s="394"/>
      <c r="AM32" s="394"/>
      <c r="AN32" s="394"/>
      <c r="AO32" s="394"/>
      <c r="AT32" s="387"/>
      <c r="AU32" s="387"/>
      <c r="AW32" s="384"/>
    </row>
    <row r="33" spans="1:61" s="365" customFormat="1" ht="10.199999999999999">
      <c r="A33" s="394">
        <f t="shared" si="4"/>
        <v>114.2225497420781</v>
      </c>
      <c r="B33" s="406">
        <f t="shared" si="5"/>
        <v>93000</v>
      </c>
      <c r="C33" s="407">
        <v>46077</v>
      </c>
      <c r="D33" s="365" t="s">
        <v>554</v>
      </c>
      <c r="E33" s="365" t="s">
        <v>555</v>
      </c>
      <c r="H33" s="365" t="s">
        <v>556</v>
      </c>
      <c r="I33" s="408">
        <v>-106.41670000000001</v>
      </c>
      <c r="J33" s="408">
        <v>48</v>
      </c>
      <c r="L33" s="365" t="s">
        <v>557</v>
      </c>
      <c r="M33" s="419" t="s">
        <v>542</v>
      </c>
      <c r="N33" s="365" t="s">
        <v>558</v>
      </c>
      <c r="O33" s="407">
        <v>23</v>
      </c>
      <c r="P33" s="365" t="s">
        <v>543</v>
      </c>
      <c r="Q33" s="365" t="s">
        <v>529</v>
      </c>
      <c r="R33" s="365" t="s">
        <v>543</v>
      </c>
      <c r="S33" s="365" t="s">
        <v>530</v>
      </c>
      <c r="T33" s="365" t="s">
        <v>544</v>
      </c>
      <c r="U33" s="365" t="s">
        <v>545</v>
      </c>
      <c r="V33" s="365" t="s">
        <v>546</v>
      </c>
      <c r="W33" s="409" t="s">
        <v>559</v>
      </c>
      <c r="X33" s="407">
        <v>1940</v>
      </c>
      <c r="Z33" s="407">
        <v>21026</v>
      </c>
      <c r="AA33" s="365" t="s">
        <v>547</v>
      </c>
      <c r="AB33" s="407">
        <v>256</v>
      </c>
      <c r="AC33" s="407">
        <v>220</v>
      </c>
      <c r="AD33" s="407">
        <v>256</v>
      </c>
      <c r="AE33" s="407">
        <v>250000</v>
      </c>
      <c r="AF33" s="407">
        <v>19100000</v>
      </c>
      <c r="AG33" s="407">
        <v>15400000</v>
      </c>
      <c r="AH33" s="410">
        <v>19100000</v>
      </c>
      <c r="AI33" s="411">
        <v>93000</v>
      </c>
      <c r="AJ33" s="394"/>
      <c r="AK33" s="394"/>
      <c r="AL33" s="394"/>
      <c r="AM33" s="394"/>
      <c r="AN33" s="394"/>
      <c r="AO33" s="394"/>
      <c r="AT33" s="387"/>
      <c r="AU33" s="387"/>
      <c r="AW33" s="384"/>
    </row>
    <row r="34" spans="1:61" s="365" customFormat="1" ht="10.199999999999999">
      <c r="A34" s="394">
        <f t="shared" si="4"/>
        <v>278.87961029923497</v>
      </c>
      <c r="B34" s="406">
        <f t="shared" si="5"/>
        <v>160300</v>
      </c>
      <c r="C34" s="407">
        <v>29343</v>
      </c>
      <c r="D34" s="365" t="s">
        <v>560</v>
      </c>
      <c r="E34" s="365" t="s">
        <v>561</v>
      </c>
      <c r="H34" s="365" t="s">
        <v>562</v>
      </c>
      <c r="I34" s="408">
        <v>-88.270105060000006</v>
      </c>
      <c r="J34" s="408">
        <v>37.012498319999999</v>
      </c>
      <c r="L34" s="365" t="s">
        <v>563</v>
      </c>
      <c r="M34" s="419" t="s">
        <v>564</v>
      </c>
      <c r="N34" s="365" t="s">
        <v>565</v>
      </c>
      <c r="O34" s="407">
        <v>4</v>
      </c>
      <c r="P34" s="365" t="s">
        <v>566</v>
      </c>
      <c r="Q34" s="365" t="s">
        <v>529</v>
      </c>
      <c r="R34" s="365" t="s">
        <v>566</v>
      </c>
      <c r="S34" s="365" t="s">
        <v>530</v>
      </c>
      <c r="T34" s="365" t="s">
        <v>567</v>
      </c>
      <c r="U34" s="365" t="s">
        <v>568</v>
      </c>
      <c r="V34" s="365" t="s">
        <v>546</v>
      </c>
      <c r="W34" s="409" t="s">
        <v>569</v>
      </c>
      <c r="X34" s="407">
        <v>1944</v>
      </c>
      <c r="Z34" s="407">
        <v>8422</v>
      </c>
      <c r="AA34" s="407">
        <v>206</v>
      </c>
      <c r="AB34" s="407">
        <v>206</v>
      </c>
      <c r="AC34" s="407">
        <v>130</v>
      </c>
      <c r="AD34" s="407">
        <v>206</v>
      </c>
      <c r="AE34" s="407">
        <v>775000</v>
      </c>
      <c r="AF34" s="407">
        <v>7535400</v>
      </c>
      <c r="AG34" s="407">
        <v>6127470</v>
      </c>
      <c r="AH34" s="410">
        <v>7535400</v>
      </c>
      <c r="AI34" s="411">
        <v>160300</v>
      </c>
      <c r="AJ34" s="394"/>
      <c r="AK34" s="394"/>
      <c r="AL34" s="394"/>
      <c r="AM34" s="394"/>
      <c r="AN34" s="394"/>
      <c r="AO34" s="394"/>
      <c r="AT34" s="387"/>
      <c r="AU34" s="387"/>
      <c r="AW34" s="384"/>
    </row>
    <row r="35" spans="1:61" s="365" customFormat="1" ht="10.199999999999999">
      <c r="A35" s="394">
        <f t="shared" si="4"/>
        <v>301.23651670612998</v>
      </c>
      <c r="B35" s="406">
        <f t="shared" si="5"/>
        <v>114500</v>
      </c>
      <c r="C35" s="407">
        <v>76077</v>
      </c>
      <c r="D35" s="365" t="s">
        <v>570</v>
      </c>
      <c r="F35" s="365" t="s">
        <v>571</v>
      </c>
      <c r="H35" s="365" t="s">
        <v>572</v>
      </c>
      <c r="I35" s="408">
        <v>-94.099997999999999</v>
      </c>
      <c r="J35" s="408">
        <v>31.066669000000001</v>
      </c>
      <c r="L35" s="365" t="s">
        <v>573</v>
      </c>
      <c r="M35" s="419" t="s">
        <v>574</v>
      </c>
      <c r="N35" s="365" t="s">
        <v>575</v>
      </c>
      <c r="O35" s="407">
        <v>95</v>
      </c>
      <c r="P35" s="365" t="s">
        <v>576</v>
      </c>
      <c r="Q35" s="365" t="s">
        <v>529</v>
      </c>
      <c r="R35" s="365" t="s">
        <v>576</v>
      </c>
      <c r="S35" s="365" t="s">
        <v>530</v>
      </c>
      <c r="T35" s="365" t="s">
        <v>544</v>
      </c>
      <c r="U35" s="365" t="s">
        <v>545</v>
      </c>
      <c r="V35" s="365" t="s">
        <v>546</v>
      </c>
      <c r="W35" s="409" t="s">
        <v>577</v>
      </c>
      <c r="X35" s="407">
        <v>1965</v>
      </c>
      <c r="Z35" s="407">
        <v>12400</v>
      </c>
      <c r="AA35" s="407">
        <v>120</v>
      </c>
      <c r="AB35" s="407">
        <v>130</v>
      </c>
      <c r="AC35" s="407">
        <v>113</v>
      </c>
      <c r="AD35" s="407">
        <v>130</v>
      </c>
      <c r="AE35" s="407">
        <v>227700</v>
      </c>
      <c r="AF35" s="407">
        <v>6520000</v>
      </c>
      <c r="AG35" s="407">
        <v>2898200</v>
      </c>
      <c r="AH35" s="410">
        <v>6520000</v>
      </c>
      <c r="AI35" s="411">
        <v>114500</v>
      </c>
      <c r="AJ35" s="394"/>
      <c r="AK35" s="394"/>
      <c r="AL35" s="394"/>
      <c r="AM35" s="394"/>
      <c r="AN35" s="394"/>
      <c r="AO35" s="394"/>
      <c r="AT35" s="387"/>
      <c r="AU35" s="387"/>
      <c r="AW35" s="384"/>
    </row>
    <row r="36" spans="1:61" s="365" customFormat="1" ht="10.199999999999999">
      <c r="A36" s="394"/>
      <c r="B36" s="406"/>
      <c r="C36" s="407"/>
      <c r="I36" s="408"/>
      <c r="J36" s="408"/>
      <c r="M36" s="419"/>
      <c r="O36" s="407"/>
      <c r="W36" s="409"/>
      <c r="X36" s="407"/>
      <c r="Z36" s="407"/>
      <c r="AA36" s="407"/>
      <c r="AB36" s="407"/>
      <c r="AC36" s="407"/>
      <c r="AD36" s="407"/>
      <c r="AE36" s="407"/>
      <c r="AF36" s="407"/>
      <c r="AG36" s="407"/>
      <c r="AH36" s="410"/>
      <c r="AI36" s="411"/>
      <c r="AJ36" s="394"/>
      <c r="AK36" s="394"/>
      <c r="AL36" s="394"/>
      <c r="AM36" s="394"/>
      <c r="AN36" s="394"/>
      <c r="AO36" s="394"/>
      <c r="AT36" s="387"/>
      <c r="AU36" s="387"/>
      <c r="AW36" s="384"/>
    </row>
    <row r="37" spans="1:61" s="412" customFormat="1" ht="46.2">
      <c r="D37" s="420"/>
      <c r="E37" s="420" t="s">
        <v>622</v>
      </c>
      <c r="F37" s="420" t="s">
        <v>623</v>
      </c>
      <c r="G37" s="420" t="s">
        <v>621</v>
      </c>
      <c r="H37" s="420" t="s">
        <v>625</v>
      </c>
      <c r="I37" s="413" t="s">
        <v>618</v>
      </c>
      <c r="J37" s="413" t="s">
        <v>619</v>
      </c>
      <c r="K37" s="413" t="s">
        <v>620</v>
      </c>
      <c r="L37" s="413"/>
      <c r="M37" s="446"/>
      <c r="N37" s="418"/>
      <c r="O37" s="414"/>
      <c r="P37" s="414"/>
      <c r="Q37" s="414"/>
      <c r="R37" s="414"/>
      <c r="S37" s="414"/>
      <c r="T37" s="414"/>
      <c r="U37" s="414"/>
      <c r="V37" s="415"/>
      <c r="W37" s="415"/>
      <c r="X37" s="414"/>
      <c r="Y37" s="414"/>
      <c r="Z37" s="414"/>
      <c r="AA37" s="414"/>
      <c r="AB37" s="414"/>
      <c r="AC37" s="414"/>
      <c r="AD37" s="414"/>
      <c r="AE37" s="414"/>
      <c r="AF37" s="414"/>
      <c r="AG37" s="414"/>
      <c r="AH37" s="414"/>
      <c r="AI37" s="414"/>
      <c r="AJ37" s="414"/>
      <c r="AK37" s="414"/>
      <c r="AL37" s="414"/>
      <c r="AM37" s="414"/>
      <c r="AN37" s="414"/>
      <c r="AO37" s="414"/>
      <c r="AP37" s="414"/>
      <c r="AQ37" s="414"/>
      <c r="AR37" s="414"/>
      <c r="AS37" s="414"/>
      <c r="AX37" s="416"/>
      <c r="AY37" s="416"/>
      <c r="BA37" s="417"/>
    </row>
    <row r="38" spans="1:61">
      <c r="B38" s="399" t="s">
        <v>614</v>
      </c>
      <c r="C38" t="s">
        <v>615</v>
      </c>
      <c r="D38" s="425" t="s">
        <v>627</v>
      </c>
      <c r="E38" s="421">
        <f>J38/454</f>
        <v>5.1520232024989204E-2</v>
      </c>
      <c r="F38" s="422">
        <v>4.2</v>
      </c>
      <c r="G38" s="424">
        <f>F38*I38</f>
        <v>98238.778425249417</v>
      </c>
      <c r="H38" s="421">
        <f>K38/454</f>
        <v>0.62701239400852415</v>
      </c>
      <c r="I38" s="401">
        <f>J38*1000</f>
        <v>23390.185339345098</v>
      </c>
      <c r="J38" s="401">
        <f>AR21</f>
        <v>23.390185339345098</v>
      </c>
      <c r="K38" s="406">
        <f>AQ21</f>
        <v>284.66362687986998</v>
      </c>
      <c r="L38" s="365"/>
      <c r="M38" s="419"/>
      <c r="R38" s="394"/>
      <c r="S38" s="394"/>
      <c r="V38" s="396"/>
      <c r="W38" s="396"/>
      <c r="AP38" s="394"/>
      <c r="AQ38" s="394"/>
      <c r="AR38" s="394"/>
      <c r="AS38" s="394"/>
      <c r="AT38" s="365"/>
      <c r="AU38" s="365"/>
      <c r="AW38" s="365"/>
      <c r="AX38" s="387"/>
      <c r="AY38" s="387"/>
      <c r="BA38" s="384"/>
      <c r="BF38" s="365"/>
      <c r="BG38" s="365"/>
      <c r="BH38" s="365"/>
      <c r="BI38" s="365"/>
    </row>
    <row r="39" spans="1:61">
      <c r="B39">
        <v>2015</v>
      </c>
      <c r="C39" t="s">
        <v>616</v>
      </c>
      <c r="D39" s="425" t="s">
        <v>628</v>
      </c>
      <c r="E39" s="421">
        <f t="shared" ref="E39:E43" si="6">J39/454</f>
        <v>3.0343939138782377E-3</v>
      </c>
      <c r="F39" s="422">
        <v>4.7</v>
      </c>
      <c r="G39" s="424">
        <f>F39*I39</f>
        <v>6474.7897334333838</v>
      </c>
      <c r="H39" s="421">
        <f t="shared" ref="H39:H43" si="7">K39/454</f>
        <v>0.40098527343379958</v>
      </c>
      <c r="I39" s="401">
        <f t="shared" ref="I39:I43" si="8">J39*1000</f>
        <v>1377.6148369007199</v>
      </c>
      <c r="J39" s="401">
        <f t="shared" ref="J39:J43" si="9">AR22</f>
        <v>1.37761483690072</v>
      </c>
      <c r="K39" s="406">
        <f t="shared" ref="K39:K43" si="10">AQ22</f>
        <v>182.04731413894501</v>
      </c>
      <c r="L39" s="365"/>
      <c r="M39" s="419"/>
      <c r="R39" s="394"/>
      <c r="S39" s="394"/>
      <c r="V39" s="396"/>
      <c r="W39" s="396"/>
      <c r="AP39" s="394"/>
      <c r="AQ39" s="394"/>
      <c r="AR39" s="394"/>
      <c r="AS39" s="394"/>
      <c r="AT39" s="365"/>
      <c r="AU39" s="365"/>
      <c r="AW39" s="365"/>
      <c r="AX39" s="387"/>
      <c r="AY39" s="387"/>
      <c r="BA39" s="384"/>
      <c r="BF39" s="365"/>
      <c r="BG39" s="365"/>
      <c r="BH39" s="365"/>
      <c r="BI39" s="365"/>
    </row>
    <row r="40" spans="1:61">
      <c r="B40">
        <v>2012</v>
      </c>
      <c r="C40" t="s">
        <v>617</v>
      </c>
      <c r="D40" s="425" t="s">
        <v>456</v>
      </c>
      <c r="E40" s="421">
        <f t="shared" si="6"/>
        <v>4.6649745431850659E-2</v>
      </c>
      <c r="F40" s="422">
        <v>2.6</v>
      </c>
      <c r="G40" s="424">
        <f>F40*I40</f>
        <v>55065.359507756526</v>
      </c>
      <c r="H40" s="421">
        <f t="shared" si="7"/>
        <v>0.89120071377531496</v>
      </c>
      <c r="I40" s="401">
        <f t="shared" si="8"/>
        <v>21178.9844260602</v>
      </c>
      <c r="J40" s="401">
        <f t="shared" si="9"/>
        <v>21.1789844260602</v>
      </c>
      <c r="K40" s="406">
        <f t="shared" si="10"/>
        <v>404.60512405399299</v>
      </c>
      <c r="L40" s="365"/>
      <c r="M40" s="419"/>
      <c r="R40" s="394"/>
      <c r="S40" s="394"/>
      <c r="V40" s="396"/>
      <c r="W40" s="396"/>
      <c r="AP40" s="394"/>
      <c r="AQ40" s="394"/>
      <c r="AR40" s="394"/>
      <c r="AS40" s="394"/>
      <c r="AT40" s="365"/>
      <c r="AU40" s="365"/>
      <c r="AW40" s="365"/>
      <c r="AX40" s="387"/>
      <c r="AY40" s="387"/>
      <c r="BA40" s="384"/>
      <c r="BF40" s="365"/>
      <c r="BG40" s="365"/>
      <c r="BH40" s="365"/>
      <c r="BI40" s="365"/>
    </row>
    <row r="41" spans="1:61">
      <c r="B41">
        <v>2010</v>
      </c>
      <c r="C41" t="s">
        <v>617</v>
      </c>
      <c r="D41" s="425" t="s">
        <v>457</v>
      </c>
      <c r="E41" s="421">
        <f t="shared" si="6"/>
        <v>7.5234233676025775E-2</v>
      </c>
      <c r="F41" s="422">
        <v>1</v>
      </c>
      <c r="G41" s="424">
        <f>F41*I41</f>
        <v>34156.342088915699</v>
      </c>
      <c r="H41" s="421">
        <f t="shared" si="7"/>
        <v>1.2009130262014713</v>
      </c>
      <c r="I41" s="401">
        <f t="shared" si="8"/>
        <v>34156.342088915699</v>
      </c>
      <c r="J41" s="401">
        <f t="shared" si="9"/>
        <v>34.1563420889157</v>
      </c>
      <c r="K41" s="406">
        <f t="shared" si="10"/>
        <v>545.21451389546803</v>
      </c>
      <c r="L41" s="365"/>
      <c r="M41" s="419"/>
      <c r="R41" s="394"/>
      <c r="S41" s="394"/>
      <c r="V41" s="396"/>
      <c r="W41" s="396"/>
      <c r="AP41" s="394"/>
      <c r="AQ41" s="394"/>
      <c r="AR41" s="394"/>
      <c r="AS41" s="394"/>
      <c r="AT41" s="365"/>
      <c r="AU41" s="365"/>
      <c r="AW41" s="365"/>
      <c r="AX41" s="387"/>
      <c r="AY41" s="387"/>
      <c r="BA41" s="384"/>
      <c r="BF41" s="365"/>
      <c r="BG41" s="365"/>
      <c r="BH41" s="365"/>
      <c r="BI41" s="365"/>
    </row>
    <row r="42" spans="1:61">
      <c r="D42" s="425" t="s">
        <v>453</v>
      </c>
      <c r="E42" s="421">
        <f t="shared" si="6"/>
        <v>1.4830023563857797E-2</v>
      </c>
      <c r="F42" s="423" t="s">
        <v>624</v>
      </c>
      <c r="G42" s="424" t="s">
        <v>624</v>
      </c>
      <c r="H42" s="421">
        <f t="shared" si="7"/>
        <v>1.0210118399258481</v>
      </c>
      <c r="I42" s="401">
        <f t="shared" si="8"/>
        <v>6732.8306979914396</v>
      </c>
      <c r="J42" s="401">
        <f t="shared" si="9"/>
        <v>6.7328306979914396</v>
      </c>
      <c r="K42" s="406">
        <f t="shared" si="10"/>
        <v>463.539375326335</v>
      </c>
      <c r="L42" s="365"/>
      <c r="M42" s="419"/>
      <c r="R42" s="394"/>
      <c r="S42" s="394"/>
      <c r="V42" s="396"/>
      <c r="W42" s="396"/>
      <c r="AP42" s="394"/>
      <c r="AQ42" s="394"/>
      <c r="AR42" s="394"/>
      <c r="AS42" s="394"/>
      <c r="AT42" s="365"/>
      <c r="AU42" s="365"/>
      <c r="AW42" s="365"/>
      <c r="AX42" s="387"/>
      <c r="AY42" s="387"/>
      <c r="BA42" s="384"/>
      <c r="BF42" s="365"/>
      <c r="BG42" s="365"/>
      <c r="BH42" s="365"/>
      <c r="BI42" s="365"/>
    </row>
    <row r="43" spans="1:61">
      <c r="B43">
        <v>2018</v>
      </c>
      <c r="C43" t="s">
        <v>629</v>
      </c>
      <c r="D43" s="425" t="s">
        <v>626</v>
      </c>
      <c r="E43" s="421">
        <f t="shared" si="6"/>
        <v>0.57007855579504407</v>
      </c>
      <c r="F43" s="422">
        <v>0.105</v>
      </c>
      <c r="G43" s="424">
        <f>F43*I43</f>
        <v>27175.644754749752</v>
      </c>
      <c r="H43" s="421">
        <f t="shared" si="7"/>
        <v>3.1815024796169822</v>
      </c>
      <c r="I43" s="401">
        <f t="shared" si="8"/>
        <v>258815.66433095004</v>
      </c>
      <c r="J43" s="401">
        <f t="shared" si="9"/>
        <v>258.81566433095003</v>
      </c>
      <c r="K43" s="406">
        <f t="shared" si="10"/>
        <v>1444.40212574611</v>
      </c>
      <c r="L43" s="365"/>
      <c r="M43" s="419"/>
      <c r="R43" s="394"/>
      <c r="S43" s="394"/>
      <c r="V43" s="396"/>
      <c r="W43" s="396"/>
      <c r="AP43" s="394"/>
      <c r="AQ43" s="394"/>
      <c r="AR43" s="394"/>
      <c r="AS43" s="394"/>
      <c r="AT43" s="365"/>
      <c r="AU43" s="365"/>
      <c r="AW43" s="365"/>
      <c r="AX43" s="387"/>
      <c r="AY43" s="387"/>
      <c r="BA43" s="384"/>
      <c r="BF43" s="365"/>
      <c r="BG43" s="365"/>
      <c r="BH43" s="365"/>
      <c r="BI43" s="365"/>
    </row>
    <row r="44" spans="1:61">
      <c r="D44" s="425"/>
      <c r="E44" s="421"/>
      <c r="F44" s="422"/>
      <c r="G44" s="424"/>
      <c r="H44" s="421"/>
      <c r="I44" s="401"/>
      <c r="J44" s="401"/>
      <c r="K44" s="406"/>
      <c r="L44" s="365"/>
      <c r="M44" s="419"/>
      <c r="R44" s="394"/>
      <c r="S44" s="394"/>
      <c r="V44" s="396"/>
      <c r="W44" s="396"/>
      <c r="AP44" s="394"/>
      <c r="AQ44" s="394"/>
      <c r="AR44" s="394"/>
      <c r="AS44" s="394"/>
      <c r="AT44" s="365"/>
      <c r="AU44" s="365"/>
      <c r="AW44" s="365"/>
      <c r="AX44" s="387"/>
      <c r="AY44" s="387"/>
      <c r="BA44" s="384"/>
      <c r="BF44" s="365"/>
      <c r="BG44" s="365"/>
      <c r="BH44" s="365"/>
      <c r="BI44" s="365"/>
    </row>
    <row r="45" spans="1:61">
      <c r="A45" s="2" t="s">
        <v>641</v>
      </c>
    </row>
    <row r="46" spans="1:61" ht="61.8">
      <c r="A46" s="447" t="s">
        <v>460</v>
      </c>
      <c r="B46" s="448" t="s">
        <v>461</v>
      </c>
      <c r="C46" s="448" t="s">
        <v>642</v>
      </c>
      <c r="D46" s="448" t="s">
        <v>463</v>
      </c>
      <c r="E46" s="448" t="s">
        <v>640</v>
      </c>
      <c r="F46" s="448" t="s">
        <v>638</v>
      </c>
      <c r="G46" s="449" t="s">
        <v>639</v>
      </c>
      <c r="I46" s="365" t="s">
        <v>643</v>
      </c>
    </row>
    <row r="47" spans="1:61" ht="14.4">
      <c r="A47" s="362" t="s">
        <v>509</v>
      </c>
      <c r="B47" s="450">
        <v>1.2749999999999999</v>
      </c>
      <c r="C47" s="450">
        <v>0.45568627450980398</v>
      </c>
      <c r="D47" s="450">
        <v>-0.78595070074061502</v>
      </c>
      <c r="E47" s="450">
        <v>581</v>
      </c>
      <c r="F47" s="61">
        <f t="shared" ref="F47:F52" si="11">B30</f>
        <v>156800</v>
      </c>
      <c r="G47" s="451">
        <f>F47/E47</f>
        <v>269.87951807228916</v>
      </c>
      <c r="I47" s="394">
        <f>E47/C47</f>
        <v>1274.9999999999998</v>
      </c>
    </row>
    <row r="48" spans="1:61">
      <c r="A48" s="17" t="s">
        <v>511</v>
      </c>
      <c r="B48" s="452">
        <v>3.7039</v>
      </c>
      <c r="C48" s="452">
        <v>3.25872728745377E-2</v>
      </c>
      <c r="D48" s="452">
        <v>-3.4238334694579602</v>
      </c>
      <c r="E48" s="452">
        <v>120.7</v>
      </c>
      <c r="F48" s="61">
        <f t="shared" si="11"/>
        <v>160784</v>
      </c>
      <c r="G48" s="451">
        <f t="shared" ref="G48:G52" si="12">F48/E48</f>
        <v>1332.0961060480529</v>
      </c>
      <c r="I48" s="394">
        <f t="shared" ref="I48:I52" si="13">E48/C48</f>
        <v>3703.8999999999942</v>
      </c>
    </row>
    <row r="49" spans="1:9">
      <c r="A49" s="17" t="s">
        <v>513</v>
      </c>
      <c r="B49" s="452">
        <v>1.8512</v>
      </c>
      <c r="C49" s="452">
        <v>0.590211754537592</v>
      </c>
      <c r="D49" s="452">
        <v>-0.52727390047780398</v>
      </c>
      <c r="E49" s="452">
        <v>1092.5999999999899</v>
      </c>
      <c r="F49" s="61">
        <f t="shared" si="11"/>
        <v>376000</v>
      </c>
      <c r="G49" s="451">
        <f t="shared" si="12"/>
        <v>344.13326011349392</v>
      </c>
      <c r="I49" s="394">
        <f t="shared" si="13"/>
        <v>1851.1999999999994</v>
      </c>
    </row>
    <row r="50" spans="1:9">
      <c r="A50" s="17" t="s">
        <v>515</v>
      </c>
      <c r="B50" s="452">
        <v>0.58425000000000005</v>
      </c>
      <c r="C50" s="452">
        <v>1.3935815147625199</v>
      </c>
      <c r="D50" s="452">
        <v>0.33187706264991101</v>
      </c>
      <c r="E50" s="452">
        <v>814.2</v>
      </c>
      <c r="F50" s="61">
        <f t="shared" si="11"/>
        <v>93000</v>
      </c>
      <c r="G50" s="451">
        <f t="shared" si="12"/>
        <v>114.2225497420781</v>
      </c>
      <c r="I50" s="394">
        <f t="shared" si="13"/>
        <v>584.24999999999841</v>
      </c>
    </row>
    <row r="51" spans="1:9">
      <c r="A51" s="17" t="s">
        <v>516</v>
      </c>
      <c r="B51" s="452">
        <v>1.2863</v>
      </c>
      <c r="C51" s="452">
        <v>0.44686309570084698</v>
      </c>
      <c r="D51" s="452">
        <v>-0.80550300487980198</v>
      </c>
      <c r="E51" s="452">
        <v>574.79999999999905</v>
      </c>
      <c r="F51" s="61">
        <f t="shared" si="11"/>
        <v>160300</v>
      </c>
      <c r="G51" s="451">
        <f t="shared" si="12"/>
        <v>278.87961029923497</v>
      </c>
      <c r="I51" s="394">
        <f t="shared" si="13"/>
        <v>1286.299999999999</v>
      </c>
    </row>
    <row r="52" spans="1:9" ht="14.4">
      <c r="A52" s="362" t="s">
        <v>518</v>
      </c>
      <c r="B52" s="450">
        <v>7.0049E-2</v>
      </c>
      <c r="C52" s="450">
        <v>5.42620165883881</v>
      </c>
      <c r="D52" s="450">
        <v>1.6912393788315701</v>
      </c>
      <c r="E52" s="450">
        <v>380.1</v>
      </c>
      <c r="F52" s="61">
        <f t="shared" si="11"/>
        <v>114500</v>
      </c>
      <c r="G52" s="451">
        <f t="shared" si="12"/>
        <v>301.23651670612998</v>
      </c>
      <c r="I52" s="394">
        <f t="shared" si="13"/>
        <v>70.049000000000035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P52"/>
  <sheetViews>
    <sheetView workbookViewId="0">
      <pane ySplit="1" topLeftCell="A19" activePane="bottomLeft" state="frozen"/>
      <selection pane="bottomLeft" activeCell="A34" sqref="A34"/>
    </sheetView>
  </sheetViews>
  <sheetFormatPr defaultRowHeight="13.2"/>
  <cols>
    <col min="1" max="1" width="25.109375" style="60" customWidth="1"/>
    <col min="2" max="2" width="10.44140625" style="60" bestFit="1" customWidth="1"/>
    <col min="3" max="3" width="6.109375" style="87" customWidth="1"/>
    <col min="4" max="4" width="5.33203125" style="87" customWidth="1"/>
    <col min="5" max="5" width="5.5546875" style="87" customWidth="1"/>
    <col min="6" max="6" width="8.77734375" style="76" customWidth="1"/>
    <col min="7" max="9" width="8.88671875" style="83"/>
    <col min="10" max="10" width="8.88671875" style="76"/>
    <col min="11" max="11" width="8.88671875" style="83"/>
    <col min="12" max="12" width="8.88671875" style="80"/>
    <col min="13" max="13" width="8.88671875" style="82"/>
    <col min="14" max="14" width="53" style="76" customWidth="1"/>
    <col min="15" max="15" width="11" style="81" customWidth="1"/>
    <col min="16" max="16384" width="8.88671875" style="60"/>
  </cols>
  <sheetData>
    <row r="1" spans="1:16" s="68" customFormat="1" ht="29.4" customHeight="1">
      <c r="A1" s="68" t="s">
        <v>197</v>
      </c>
      <c r="B1" s="68" t="s">
        <v>199</v>
      </c>
      <c r="C1" s="337" t="s">
        <v>185</v>
      </c>
      <c r="D1" s="85" t="s">
        <v>186</v>
      </c>
      <c r="E1" s="85" t="s">
        <v>187</v>
      </c>
      <c r="F1" s="74" t="s">
        <v>145</v>
      </c>
      <c r="G1" s="90" t="s">
        <v>141</v>
      </c>
      <c r="H1" s="90" t="s">
        <v>142</v>
      </c>
      <c r="I1" s="90" t="s">
        <v>147</v>
      </c>
      <c r="J1" s="74" t="s">
        <v>148</v>
      </c>
      <c r="K1" s="90" t="s">
        <v>202</v>
      </c>
      <c r="L1" s="79" t="s">
        <v>142</v>
      </c>
      <c r="M1" s="325" t="s">
        <v>201</v>
      </c>
      <c r="N1" s="74" t="s">
        <v>198</v>
      </c>
      <c r="O1" s="327" t="s">
        <v>423</v>
      </c>
      <c r="P1" s="68" t="s">
        <v>422</v>
      </c>
    </row>
    <row r="2" spans="1:16" ht="13.8">
      <c r="A2" s="69" t="s">
        <v>189</v>
      </c>
      <c r="B2" s="70">
        <v>44105</v>
      </c>
      <c r="C2" s="338">
        <f t="shared" ref="C2:C11" si="0">D2+273.15</f>
        <v>273.14999999999998</v>
      </c>
      <c r="D2" s="84">
        <v>0</v>
      </c>
      <c r="F2" s="77" t="s">
        <v>146</v>
      </c>
      <c r="G2" s="83">
        <v>3.4599999999999999E-2</v>
      </c>
      <c r="H2" s="82">
        <v>0.55400000000000005</v>
      </c>
      <c r="L2" s="80">
        <f>G2*B$30/2.205</f>
        <v>0.55414397476643984</v>
      </c>
      <c r="M2" s="326">
        <f t="shared" ref="M2:M18" si="1">$L2*$C2/273.15</f>
        <v>0.55414397476643984</v>
      </c>
      <c r="N2" s="75" t="s">
        <v>97</v>
      </c>
      <c r="O2" s="328">
        <f>$L2*$C2/(288.7*$B$30)</f>
        <v>1.484642627400804E-2</v>
      </c>
    </row>
    <row r="3" spans="1:16" ht="13.8">
      <c r="A3" s="69" t="s">
        <v>193</v>
      </c>
      <c r="B3" s="70">
        <v>38168</v>
      </c>
      <c r="C3" s="338">
        <f t="shared" si="0"/>
        <v>273.14999999999998</v>
      </c>
      <c r="D3" s="84">
        <v>0</v>
      </c>
      <c r="H3" s="83">
        <v>0.71540000000000004</v>
      </c>
      <c r="L3" s="80">
        <f>H3</f>
        <v>0.71540000000000004</v>
      </c>
      <c r="M3" s="326">
        <f t="shared" si="1"/>
        <v>0.71540000000000004</v>
      </c>
      <c r="N3" s="76" t="s">
        <v>190</v>
      </c>
      <c r="O3" s="328">
        <f>$L3*$C3/(288.7*$B$30)</f>
        <v>1.9166739764520477E-2</v>
      </c>
    </row>
    <row r="4" spans="1:16" ht="13.8">
      <c r="A4" s="69" t="s">
        <v>191</v>
      </c>
      <c r="B4" s="70">
        <v>38168</v>
      </c>
      <c r="C4" s="338">
        <f t="shared" si="0"/>
        <v>273.14999999999998</v>
      </c>
      <c r="D4" s="84">
        <v>0</v>
      </c>
      <c r="H4" s="83">
        <v>0.7157</v>
      </c>
      <c r="L4" s="80">
        <f>H4</f>
        <v>0.7157</v>
      </c>
      <c r="M4" s="326">
        <f t="shared" si="1"/>
        <v>0.7157</v>
      </c>
      <c r="N4" s="76" t="s">
        <v>190</v>
      </c>
      <c r="O4" s="328">
        <f t="shared" ref="O4:O18" si="2">$L4*$C4/(288.7*$B$30)</f>
        <v>1.9174777256733722E-2</v>
      </c>
    </row>
    <row r="5" spans="1:16" ht="13.8">
      <c r="A5" s="69" t="s">
        <v>176</v>
      </c>
      <c r="B5" s="70">
        <v>39882</v>
      </c>
      <c r="C5" s="338">
        <f t="shared" si="0"/>
        <v>273.14999999999998</v>
      </c>
      <c r="D5" s="84">
        <v>0</v>
      </c>
      <c r="K5" s="83">
        <v>0.71699999999999997</v>
      </c>
      <c r="L5" s="80">
        <f>K5</f>
        <v>0.71699999999999997</v>
      </c>
      <c r="M5" s="326">
        <f t="shared" si="1"/>
        <v>0.71699999999999997</v>
      </c>
      <c r="N5" s="76" t="s">
        <v>175</v>
      </c>
      <c r="O5" s="328">
        <f t="shared" si="2"/>
        <v>1.9209606389657786E-2</v>
      </c>
    </row>
    <row r="6" spans="1:16" s="323" customFormat="1" ht="13.8">
      <c r="A6" s="316" t="s">
        <v>173</v>
      </c>
      <c r="B6" s="317">
        <v>40217</v>
      </c>
      <c r="C6" s="338">
        <f t="shared" si="0"/>
        <v>273.14999999999998</v>
      </c>
      <c r="D6" s="318">
        <v>0</v>
      </c>
      <c r="E6" s="319"/>
      <c r="F6" s="320"/>
      <c r="G6" s="321"/>
      <c r="H6" s="321"/>
      <c r="I6" s="321"/>
      <c r="J6" s="320"/>
      <c r="K6" s="321">
        <v>0.71699999999999997</v>
      </c>
      <c r="L6" s="322">
        <f>K6</f>
        <v>0.71699999999999997</v>
      </c>
      <c r="M6" s="326">
        <f t="shared" si="1"/>
        <v>0.71699999999999997</v>
      </c>
      <c r="N6" s="320" t="s">
        <v>172</v>
      </c>
      <c r="O6" s="328">
        <f t="shared" si="2"/>
        <v>1.9209606389657786E-2</v>
      </c>
    </row>
    <row r="7" spans="1:16" ht="13.8">
      <c r="A7" s="69" t="s">
        <v>157</v>
      </c>
      <c r="B7" s="70">
        <v>40430</v>
      </c>
      <c r="C7" s="338">
        <f t="shared" si="0"/>
        <v>273.14999999999998</v>
      </c>
      <c r="D7" s="84">
        <v>0</v>
      </c>
      <c r="K7" s="83">
        <v>0.71699999999999997</v>
      </c>
      <c r="L7" s="80">
        <f>K7</f>
        <v>0.71699999999999997</v>
      </c>
      <c r="M7" s="326">
        <f t="shared" si="1"/>
        <v>0.71699999999999997</v>
      </c>
      <c r="N7" s="76" t="s">
        <v>158</v>
      </c>
      <c r="O7" s="328">
        <f t="shared" si="2"/>
        <v>1.9209606389657786E-2</v>
      </c>
    </row>
    <row r="8" spans="1:16" ht="13.8">
      <c r="A8" s="69" t="s">
        <v>196</v>
      </c>
      <c r="B8" s="70">
        <v>40892</v>
      </c>
      <c r="C8" s="338">
        <f t="shared" si="0"/>
        <v>273.14999999999998</v>
      </c>
      <c r="D8" s="84">
        <v>0</v>
      </c>
      <c r="K8" s="83">
        <v>0.71699999999999997</v>
      </c>
      <c r="L8" s="80">
        <f>K8</f>
        <v>0.71699999999999997</v>
      </c>
      <c r="M8" s="326">
        <f t="shared" si="1"/>
        <v>0.71699999999999997</v>
      </c>
      <c r="N8" s="76" t="s">
        <v>163</v>
      </c>
      <c r="O8" s="328">
        <f t="shared" si="2"/>
        <v>1.9209606389657786E-2</v>
      </c>
    </row>
    <row r="9" spans="1:16" ht="13.8">
      <c r="A9" s="69" t="s">
        <v>178</v>
      </c>
      <c r="B9" s="70">
        <v>44022</v>
      </c>
      <c r="C9" s="338">
        <f t="shared" si="0"/>
        <v>273.14999999999998</v>
      </c>
      <c r="D9" s="84">
        <v>0</v>
      </c>
      <c r="K9" s="83">
        <v>0.71699999999999997</v>
      </c>
      <c r="L9" s="80">
        <f>K9</f>
        <v>0.71699999999999997</v>
      </c>
      <c r="M9" s="326">
        <f t="shared" si="1"/>
        <v>0.71699999999999997</v>
      </c>
      <c r="N9" s="76" t="s">
        <v>177</v>
      </c>
      <c r="O9" s="328">
        <f t="shared" si="2"/>
        <v>1.9209606389657786E-2</v>
      </c>
    </row>
    <row r="10" spans="1:16" ht="13.8">
      <c r="A10" s="69" t="s">
        <v>191</v>
      </c>
      <c r="B10" s="70">
        <v>38168</v>
      </c>
      <c r="C10" s="338">
        <f t="shared" si="0"/>
        <v>288.14999999999998</v>
      </c>
      <c r="D10" s="84">
        <v>15</v>
      </c>
      <c r="E10" s="87">
        <v>59</v>
      </c>
      <c r="F10" s="77" t="s">
        <v>192</v>
      </c>
      <c r="H10" s="82">
        <v>0.67800000000000005</v>
      </c>
      <c r="L10" s="80">
        <f>H10</f>
        <v>0.67800000000000005</v>
      </c>
      <c r="M10" s="326">
        <f t="shared" si="1"/>
        <v>0.71523228995057664</v>
      </c>
      <c r="N10" s="76" t="s">
        <v>190</v>
      </c>
      <c r="O10" s="328">
        <f t="shared" si="2"/>
        <v>1.9162246537132731E-2</v>
      </c>
    </row>
    <row r="11" spans="1:16" ht="13.8">
      <c r="A11" s="69" t="s">
        <v>169</v>
      </c>
      <c r="B11" s="70">
        <v>41107</v>
      </c>
      <c r="C11" s="338">
        <f t="shared" si="0"/>
        <v>288.14999999999998</v>
      </c>
      <c r="D11" s="84">
        <v>15</v>
      </c>
      <c r="F11" s="77" t="s">
        <v>174</v>
      </c>
      <c r="H11" s="82">
        <v>0.68</v>
      </c>
      <c r="L11" s="80">
        <f>H11</f>
        <v>0.68</v>
      </c>
      <c r="M11" s="326">
        <f t="shared" si="1"/>
        <v>0.71734211971444273</v>
      </c>
      <c r="N11" s="76" t="s">
        <v>168</v>
      </c>
      <c r="O11" s="328">
        <f t="shared" si="2"/>
        <v>1.9218772338127223E-2</v>
      </c>
    </row>
    <row r="12" spans="1:16">
      <c r="A12" s="69" t="s">
        <v>149</v>
      </c>
      <c r="B12" s="70">
        <v>40938</v>
      </c>
      <c r="C12" s="339">
        <f>(E12-32)/1.8+273.15</f>
        <v>288.70555555555552</v>
      </c>
      <c r="D12" s="84"/>
      <c r="E12" s="87">
        <v>60</v>
      </c>
      <c r="F12" s="77" t="s">
        <v>146</v>
      </c>
      <c r="H12" s="82"/>
      <c r="J12" s="77">
        <v>19.23</v>
      </c>
      <c r="L12" s="80">
        <f>J12*$B$30/1000</f>
        <v>0.67910103871800009</v>
      </c>
      <c r="M12" s="326">
        <f t="shared" si="1"/>
        <v>0.71777500516725268</v>
      </c>
      <c r="N12" s="76" t="s">
        <v>150</v>
      </c>
      <c r="O12" s="328">
        <f t="shared" si="2"/>
        <v>1.9230370049647848E-2</v>
      </c>
    </row>
    <row r="13" spans="1:16" ht="13.8">
      <c r="A13" s="69" t="s">
        <v>162</v>
      </c>
      <c r="B13" s="70">
        <v>42660</v>
      </c>
      <c r="C13" s="338">
        <f t="shared" ref="C13:C18" si="3">D13+273.15</f>
        <v>288.75</v>
      </c>
      <c r="D13" s="84">
        <v>15.6</v>
      </c>
      <c r="F13" s="77" t="s">
        <v>146</v>
      </c>
      <c r="H13" s="82">
        <v>0.66</v>
      </c>
      <c r="L13" s="80">
        <f>H13</f>
        <v>0.66</v>
      </c>
      <c r="M13" s="326">
        <f t="shared" si="1"/>
        <v>0.69769357495881401</v>
      </c>
      <c r="N13" s="76" t="s">
        <v>161</v>
      </c>
      <c r="O13" s="328">
        <f t="shared" si="2"/>
        <v>1.8692355586543957E-2</v>
      </c>
    </row>
    <row r="14" spans="1:16" ht="13.8">
      <c r="A14" s="69" t="s">
        <v>193</v>
      </c>
      <c r="B14" s="70">
        <v>38168</v>
      </c>
      <c r="C14" s="338">
        <f t="shared" si="3"/>
        <v>293.14999999999998</v>
      </c>
      <c r="D14" s="84">
        <v>20</v>
      </c>
      <c r="H14" s="83">
        <v>0.66659999999999997</v>
      </c>
      <c r="L14" s="80">
        <f>H14</f>
        <v>0.66659999999999997</v>
      </c>
      <c r="M14" s="326">
        <f t="shared" si="1"/>
        <v>0.71540834706205381</v>
      </c>
      <c r="N14" s="76" t="s">
        <v>190</v>
      </c>
      <c r="O14" s="328">
        <f t="shared" si="2"/>
        <v>1.916696339600801E-2</v>
      </c>
    </row>
    <row r="15" spans="1:16" ht="13.8">
      <c r="A15" s="69" t="s">
        <v>191</v>
      </c>
      <c r="B15" s="70">
        <v>38168</v>
      </c>
      <c r="C15" s="338">
        <f t="shared" si="3"/>
        <v>293.14999999999998</v>
      </c>
      <c r="D15" s="84">
        <v>20</v>
      </c>
      <c r="H15" s="82">
        <v>0.66700000000000004</v>
      </c>
      <c r="L15" s="80">
        <f>H15</f>
        <v>0.66700000000000004</v>
      </c>
      <c r="M15" s="326">
        <f t="shared" si="1"/>
        <v>0.71583763499908482</v>
      </c>
      <c r="N15" s="76" t="s">
        <v>190</v>
      </c>
      <c r="O15" s="328">
        <f t="shared" si="2"/>
        <v>1.9178464724178435E-2</v>
      </c>
    </row>
    <row r="16" spans="1:16" ht="13.8">
      <c r="A16" s="69" t="s">
        <v>152</v>
      </c>
      <c r="B16" s="70">
        <v>36530</v>
      </c>
      <c r="C16" s="338">
        <f t="shared" si="3"/>
        <v>294.25</v>
      </c>
      <c r="D16" s="84">
        <v>21.1</v>
      </c>
      <c r="E16" s="87">
        <v>70</v>
      </c>
      <c r="F16" s="77" t="s">
        <v>146</v>
      </c>
      <c r="G16" s="82">
        <v>4.2000000000000003E-2</v>
      </c>
      <c r="H16" s="82"/>
      <c r="L16" s="80">
        <f>G16*B$30/2.205</f>
        <v>0.67266031619047628</v>
      </c>
      <c r="M16" s="326">
        <f t="shared" si="1"/>
        <v>0.72462126318523767</v>
      </c>
      <c r="N16" s="76" t="s">
        <v>151</v>
      </c>
      <c r="O16" s="328">
        <f t="shared" si="2"/>
        <v>1.9413792534679269E-2</v>
      </c>
    </row>
    <row r="17" spans="1:16" ht="13.8">
      <c r="A17" s="69" t="s">
        <v>191</v>
      </c>
      <c r="B17" s="70">
        <v>38168</v>
      </c>
      <c r="C17" s="338">
        <f t="shared" si="3"/>
        <v>298.14999999999998</v>
      </c>
      <c r="D17" s="84">
        <v>25</v>
      </c>
      <c r="H17" s="82">
        <v>0.65600000000000003</v>
      </c>
      <c r="L17" s="80">
        <f>H17</f>
        <v>0.65600000000000003</v>
      </c>
      <c r="M17" s="326">
        <f t="shared" si="1"/>
        <v>0.7160402709134176</v>
      </c>
      <c r="N17" s="76" t="s">
        <v>190</v>
      </c>
      <c r="O17" s="328">
        <f t="shared" si="2"/>
        <v>1.9183893672790348E-2</v>
      </c>
    </row>
    <row r="18" spans="1:16" ht="13.8">
      <c r="A18" s="69" t="s">
        <v>153</v>
      </c>
      <c r="B18" s="70">
        <v>43537</v>
      </c>
      <c r="C18" s="338">
        <f t="shared" si="3"/>
        <v>298.14999999999998</v>
      </c>
      <c r="D18" s="84">
        <v>25</v>
      </c>
      <c r="E18" s="87">
        <v>77</v>
      </c>
      <c r="G18" s="83">
        <v>4.2299999999999997E-2</v>
      </c>
      <c r="L18" s="80">
        <f t="shared" ref="L18:L19" si="4">G18*B$30/2.205</f>
        <v>0.67746503273469394</v>
      </c>
      <c r="M18" s="326">
        <f t="shared" si="1"/>
        <v>0.7394698865453011</v>
      </c>
      <c r="N18" s="76" t="s">
        <v>154</v>
      </c>
      <c r="O18" s="328">
        <f t="shared" si="2"/>
        <v>1.9811611516792376E-2</v>
      </c>
    </row>
    <row r="19" spans="1:16">
      <c r="A19" s="72" t="s">
        <v>184</v>
      </c>
      <c r="B19" s="73">
        <v>42199</v>
      </c>
      <c r="C19" s="88"/>
      <c r="D19" s="88"/>
      <c r="E19" s="88"/>
      <c r="F19" s="78"/>
      <c r="G19" s="92">
        <v>4.5817200000000002E-2</v>
      </c>
      <c r="H19" s="92"/>
      <c r="I19" s="92"/>
      <c r="J19" s="78"/>
      <c r="K19" s="92"/>
      <c r="L19" s="329">
        <f t="shared" si="4"/>
        <v>0.73379552949910209</v>
      </c>
      <c r="M19" s="329"/>
      <c r="N19" s="78" t="s">
        <v>183</v>
      </c>
      <c r="O19" s="330" t="s">
        <v>203</v>
      </c>
      <c r="P19" s="71">
        <f>C4*L4/L19-C4</f>
        <v>-6.7359280398638361</v>
      </c>
    </row>
    <row r="20" spans="1:16">
      <c r="A20" s="69" t="s">
        <v>167</v>
      </c>
      <c r="B20" s="70">
        <v>39785</v>
      </c>
      <c r="K20" s="83">
        <v>1.3420000000000001</v>
      </c>
      <c r="L20" s="80">
        <f>K20</f>
        <v>1.3420000000000001</v>
      </c>
      <c r="M20" s="80"/>
      <c r="N20" s="76" t="s">
        <v>166</v>
      </c>
      <c r="O20" s="93" t="s">
        <v>203</v>
      </c>
    </row>
    <row r="21" spans="1:16">
      <c r="A21" s="69" t="s">
        <v>165</v>
      </c>
      <c r="B21" s="70">
        <v>39859</v>
      </c>
      <c r="C21" s="89"/>
      <c r="G21" s="83">
        <v>4.2349999999999999E-2</v>
      </c>
      <c r="L21" s="80">
        <f t="shared" ref="L21:L22" si="5">G21*B$30/2.205</f>
        <v>0.67826581882539683</v>
      </c>
      <c r="M21" s="80"/>
      <c r="N21" s="77" t="s">
        <v>164</v>
      </c>
      <c r="O21" s="93" t="s">
        <v>203</v>
      </c>
    </row>
    <row r="22" spans="1:16">
      <c r="A22" s="69" t="s">
        <v>156</v>
      </c>
      <c r="B22" s="70">
        <v>42381</v>
      </c>
      <c r="G22" s="83">
        <v>4.2349999999999999E-2</v>
      </c>
      <c r="H22" s="91">
        <v>0.6784</v>
      </c>
      <c r="L22" s="80">
        <f t="shared" si="5"/>
        <v>0.67826581882539683</v>
      </c>
      <c r="M22" s="80"/>
      <c r="N22" s="76" t="s">
        <v>155</v>
      </c>
      <c r="O22" s="93" t="s">
        <v>203</v>
      </c>
    </row>
    <row r="23" spans="1:16" ht="13.8">
      <c r="A23" s="69" t="s">
        <v>171</v>
      </c>
      <c r="B23" s="70">
        <v>42444</v>
      </c>
      <c r="C23" s="86"/>
      <c r="M23" s="80"/>
      <c r="N23" s="76" t="s">
        <v>170</v>
      </c>
      <c r="O23" s="93" t="s">
        <v>203</v>
      </c>
    </row>
    <row r="24" spans="1:16" ht="13.8">
      <c r="A24" s="69" t="s">
        <v>180</v>
      </c>
      <c r="B24" s="70">
        <v>43087</v>
      </c>
      <c r="C24" s="86"/>
      <c r="M24" s="80"/>
      <c r="N24" s="76" t="s">
        <v>179</v>
      </c>
      <c r="O24" s="93" t="s">
        <v>203</v>
      </c>
    </row>
    <row r="25" spans="1:16">
      <c r="A25" s="69" t="s">
        <v>160</v>
      </c>
      <c r="B25" s="70">
        <v>43159</v>
      </c>
      <c r="M25" s="80"/>
      <c r="N25" s="76" t="s">
        <v>159</v>
      </c>
      <c r="O25" s="93" t="s">
        <v>203</v>
      </c>
    </row>
    <row r="26" spans="1:16" ht="13.8">
      <c r="A26" s="69" t="s">
        <v>182</v>
      </c>
      <c r="B26" s="70">
        <v>43564</v>
      </c>
      <c r="C26" s="86"/>
      <c r="M26" s="80"/>
      <c r="N26" s="76" t="s">
        <v>181</v>
      </c>
      <c r="O26" s="93" t="s">
        <v>203</v>
      </c>
    </row>
    <row r="27" spans="1:16">
      <c r="A27" s="69"/>
      <c r="B27" s="70"/>
    </row>
    <row r="29" spans="1:16">
      <c r="A29" s="331" t="s">
        <v>188</v>
      </c>
      <c r="B29" s="332"/>
      <c r="C29" s="333"/>
      <c r="D29" s="333"/>
      <c r="E29" s="333"/>
      <c r="F29" s="334"/>
      <c r="G29" s="335"/>
      <c r="H29" s="335"/>
      <c r="I29" s="335"/>
      <c r="J29" s="334"/>
      <c r="K29" s="335"/>
      <c r="L29" s="324"/>
      <c r="M29" s="336"/>
      <c r="N29" s="334" t="s">
        <v>194</v>
      </c>
      <c r="O29" s="328"/>
    </row>
    <row r="30" spans="1:16">
      <c r="A30" s="69" t="s">
        <v>195</v>
      </c>
      <c r="B30" s="60">
        <v>35.314666600000002</v>
      </c>
    </row>
    <row r="32" spans="1:16">
      <c r="A32" s="69" t="s">
        <v>144</v>
      </c>
      <c r="B32" s="70">
        <v>39994</v>
      </c>
      <c r="C32" s="87">
        <f>(E32-32)/1.8+273.15</f>
        <v>294.81666666666666</v>
      </c>
      <c r="E32" s="87">
        <v>71</v>
      </c>
      <c r="F32" s="77" t="s">
        <v>146</v>
      </c>
      <c r="I32" s="83">
        <v>5.1999999999999998E-3</v>
      </c>
      <c r="M32" s="80">
        <f>$L32*$C32/273.15</f>
        <v>0</v>
      </c>
      <c r="N32" s="76" t="s">
        <v>143</v>
      </c>
      <c r="O32" s="81">
        <f>L32*C32/288.7</f>
        <v>0</v>
      </c>
    </row>
    <row r="34" spans="1:16" s="50" customFormat="1" ht="13.8">
      <c r="A34" s="354" t="s">
        <v>440</v>
      </c>
      <c r="K34" s="345"/>
      <c r="L34" s="347"/>
      <c r="M34" s="348"/>
      <c r="N34" s="349"/>
      <c r="O34" s="345"/>
      <c r="P34" s="350"/>
    </row>
    <row r="35" spans="1:16" s="50" customFormat="1" ht="13.8">
      <c r="A35" s="217" t="s">
        <v>441</v>
      </c>
      <c r="B35" s="217"/>
      <c r="D35" s="346"/>
      <c r="E35" s="346"/>
      <c r="F35" s="346"/>
      <c r="G35" s="345"/>
      <c r="H35" s="347"/>
      <c r="I35" s="347"/>
      <c r="J35" s="347"/>
      <c r="K35" s="345"/>
      <c r="L35" s="347"/>
      <c r="M35" s="348"/>
      <c r="N35" s="349"/>
      <c r="O35" s="345"/>
      <c r="P35" s="350"/>
    </row>
    <row r="36" spans="1:16" s="50" customFormat="1" ht="13.8">
      <c r="A36" s="217" t="s">
        <v>442</v>
      </c>
      <c r="B36" s="217"/>
      <c r="D36" s="346"/>
      <c r="E36" s="346"/>
      <c r="F36" s="346"/>
      <c r="G36" s="345"/>
      <c r="H36" s="347"/>
      <c r="I36" s="347"/>
      <c r="J36" s="347"/>
      <c r="K36" s="345"/>
      <c r="L36" s="347"/>
      <c r="M36" s="348"/>
      <c r="N36" s="349"/>
      <c r="O36" s="345"/>
      <c r="P36" s="350"/>
    </row>
    <row r="37" spans="1:16" s="463" customFormat="1" ht="27.6">
      <c r="A37" s="44"/>
      <c r="B37" s="453" t="s">
        <v>646</v>
      </c>
      <c r="C37" s="464" t="s">
        <v>644</v>
      </c>
      <c r="D37" s="454" t="s">
        <v>645</v>
      </c>
      <c r="E37" s="455">
        <v>15</v>
      </c>
      <c r="F37" s="456">
        <v>0</v>
      </c>
      <c r="G37" s="457">
        <f>F37+0.01</f>
        <v>0.01</v>
      </c>
      <c r="H37" s="457">
        <f t="shared" ref="H37:J37" si="6">G37+0.01</f>
        <v>0.02</v>
      </c>
      <c r="I37" s="457">
        <f t="shared" si="6"/>
        <v>0.03</v>
      </c>
      <c r="J37" s="457">
        <f t="shared" si="6"/>
        <v>0.04</v>
      </c>
      <c r="K37" s="466">
        <v>1.4999999999999999E-2</v>
      </c>
      <c r="L37" s="466">
        <v>3.6999999999999998E-2</v>
      </c>
      <c r="M37" s="460"/>
      <c r="N37" s="461"/>
      <c r="O37" s="458"/>
      <c r="P37" s="462"/>
    </row>
    <row r="38" spans="1:16" s="463" customFormat="1" ht="13.8">
      <c r="A38" s="44" t="s">
        <v>443</v>
      </c>
      <c r="B38" s="50">
        <v>2.75</v>
      </c>
      <c r="C38" s="463">
        <v>1</v>
      </c>
      <c r="D38" s="345">
        <f t="shared" ref="D38:D40" si="7">C38*B38</f>
        <v>2.75</v>
      </c>
      <c r="E38" s="455"/>
      <c r="F38" s="456"/>
      <c r="G38" s="457"/>
      <c r="H38" s="457"/>
      <c r="I38" s="457"/>
      <c r="J38" s="457"/>
      <c r="K38" s="458"/>
      <c r="L38" s="459"/>
      <c r="M38" s="460"/>
      <c r="N38" s="461"/>
      <c r="O38" s="458"/>
      <c r="P38" s="462"/>
    </row>
    <row r="39" spans="1:16" s="463" customFormat="1" ht="13.8">
      <c r="A39" s="50" t="s">
        <v>444</v>
      </c>
      <c r="B39" s="50">
        <v>28</v>
      </c>
      <c r="C39" s="463">
        <v>1</v>
      </c>
      <c r="D39" s="345">
        <f t="shared" si="7"/>
        <v>28</v>
      </c>
      <c r="E39" s="455"/>
      <c r="F39" s="468">
        <f>F$37*$B39+(1-F$37)*$B$38</f>
        <v>2.75</v>
      </c>
      <c r="G39" s="468">
        <f t="shared" ref="G39:L40" si="8">G$37*$B39+(1-G$37)*$B$38</f>
        <v>3.0025000000000004</v>
      </c>
      <c r="H39" s="468">
        <f t="shared" si="8"/>
        <v>3.2549999999999999</v>
      </c>
      <c r="I39" s="468">
        <f t="shared" si="8"/>
        <v>3.5074999999999998</v>
      </c>
      <c r="J39" s="468">
        <f t="shared" si="8"/>
        <v>3.76</v>
      </c>
      <c r="K39" s="468">
        <f t="shared" si="8"/>
        <v>3.1287499999999997</v>
      </c>
      <c r="L39" s="468">
        <f t="shared" si="8"/>
        <v>3.68425</v>
      </c>
      <c r="M39" s="467"/>
      <c r="N39" s="461"/>
      <c r="O39" s="458"/>
      <c r="P39" s="462"/>
    </row>
    <row r="40" spans="1:16" s="463" customFormat="1" ht="13.8">
      <c r="A40" s="50" t="s">
        <v>444</v>
      </c>
      <c r="B40" s="50">
        <v>96</v>
      </c>
      <c r="C40" s="463">
        <v>1</v>
      </c>
      <c r="D40" s="345">
        <f t="shared" si="7"/>
        <v>96</v>
      </c>
      <c r="E40" s="455"/>
      <c r="F40" s="468">
        <f>F$37*$B40+(1-F$37)*$B$38</f>
        <v>2.75</v>
      </c>
      <c r="G40" s="468">
        <f t="shared" si="8"/>
        <v>3.6825000000000001</v>
      </c>
      <c r="H40" s="468">
        <f t="shared" si="8"/>
        <v>4.6150000000000002</v>
      </c>
      <c r="I40" s="468">
        <f t="shared" si="8"/>
        <v>5.5474999999999994</v>
      </c>
      <c r="J40" s="468">
        <f t="shared" si="8"/>
        <v>6.4799999999999995</v>
      </c>
      <c r="K40" s="468">
        <f t="shared" si="8"/>
        <v>4.1487499999999997</v>
      </c>
      <c r="L40" s="468">
        <f t="shared" si="8"/>
        <v>6.2002499999999996</v>
      </c>
      <c r="M40" s="467"/>
      <c r="N40" s="461"/>
      <c r="O40" s="458"/>
      <c r="P40" s="462"/>
    </row>
    <row r="41" spans="1:16" s="463" customFormat="1" ht="13.8">
      <c r="A41" s="460" t="s">
        <v>647</v>
      </c>
      <c r="B41" s="50">
        <v>28</v>
      </c>
      <c r="D41" s="345"/>
      <c r="E41" s="455"/>
      <c r="F41" s="467">
        <f>F39/$B$38</f>
        <v>1</v>
      </c>
      <c r="G41" s="467">
        <f t="shared" ref="G41:K42" si="9">G39/$B$38</f>
        <v>1.091818181818182</v>
      </c>
      <c r="H41" s="467">
        <f t="shared" si="9"/>
        <v>1.1836363636363636</v>
      </c>
      <c r="I41" s="467">
        <f t="shared" si="9"/>
        <v>1.2754545454545454</v>
      </c>
      <c r="J41" s="467">
        <f t="shared" si="9"/>
        <v>1.3672727272727272</v>
      </c>
      <c r="K41" s="467">
        <f t="shared" si="9"/>
        <v>1.1377272727272727</v>
      </c>
      <c r="L41" s="467">
        <f t="shared" ref="L41" si="10">L39/$B$38</f>
        <v>1.3397272727272727</v>
      </c>
      <c r="M41" s="467"/>
      <c r="N41" s="461"/>
      <c r="O41" s="458"/>
      <c r="P41" s="462"/>
    </row>
    <row r="42" spans="1:16" s="463" customFormat="1" ht="13.8">
      <c r="A42" s="460" t="s">
        <v>647</v>
      </c>
      <c r="B42" s="50">
        <v>96</v>
      </c>
      <c r="D42" s="345"/>
      <c r="E42" s="455"/>
      <c r="F42" s="467">
        <f>F40/$B$38</f>
        <v>1</v>
      </c>
      <c r="G42" s="467">
        <f t="shared" si="9"/>
        <v>1.3390909090909091</v>
      </c>
      <c r="H42" s="467">
        <f t="shared" si="9"/>
        <v>1.6781818181818182</v>
      </c>
      <c r="I42" s="467">
        <f t="shared" si="9"/>
        <v>2.0172727272727271</v>
      </c>
      <c r="J42" s="467">
        <f t="shared" si="9"/>
        <v>2.356363636363636</v>
      </c>
      <c r="K42" s="467">
        <f t="shared" si="9"/>
        <v>1.5086363636363636</v>
      </c>
      <c r="L42" s="467">
        <f t="shared" ref="L42" si="11">L40/$B$38</f>
        <v>2.2546363636363633</v>
      </c>
      <c r="M42" s="467"/>
      <c r="N42" s="461"/>
      <c r="O42" s="458"/>
      <c r="P42" s="462"/>
    </row>
    <row r="43" spans="1:16" s="50" customFormat="1" ht="13.8">
      <c r="A43" s="50" t="s">
        <v>443</v>
      </c>
      <c r="B43" s="50">
        <v>2.75</v>
      </c>
      <c r="C43" s="465">
        <f>B52</f>
        <v>1.9199999999999998E-2</v>
      </c>
      <c r="D43" s="345">
        <f>C43*B43</f>
        <v>5.2799999999999993E-2</v>
      </c>
      <c r="E43" s="351">
        <f>D43*E$37</f>
        <v>0.79199999999999993</v>
      </c>
      <c r="F43" s="351"/>
      <c r="G43" s="351"/>
      <c r="H43" s="351"/>
      <c r="I43" s="351"/>
      <c r="J43" s="351"/>
      <c r="K43" s="345"/>
      <c r="L43" s="347"/>
      <c r="M43" s="348"/>
      <c r="N43" s="349"/>
      <c r="O43" s="345"/>
      <c r="P43" s="350"/>
    </row>
    <row r="44" spans="1:16" s="50" customFormat="1" ht="13.8">
      <c r="A44" s="50" t="s">
        <v>444</v>
      </c>
      <c r="B44" s="50">
        <v>28</v>
      </c>
      <c r="C44" s="465">
        <f>C43</f>
        <v>1.9199999999999998E-2</v>
      </c>
      <c r="D44" s="345">
        <f t="shared" ref="D44" si="12">C44*B44</f>
        <v>0.53759999999999997</v>
      </c>
      <c r="E44" s="353">
        <f>D44*E$37</f>
        <v>8.0640000000000001</v>
      </c>
      <c r="F44" s="351">
        <f t="shared" ref="F44:J45" si="13">F$37*$E44+(1-F$37)*$E$43</f>
        <v>0.79199999999999993</v>
      </c>
      <c r="G44" s="351">
        <f t="shared" si="13"/>
        <v>0.86471999999999993</v>
      </c>
      <c r="H44" s="351">
        <f t="shared" si="13"/>
        <v>0.93743999999999994</v>
      </c>
      <c r="I44" s="351">
        <f t="shared" si="13"/>
        <v>1.0101599999999999</v>
      </c>
      <c r="J44" s="351">
        <f t="shared" si="13"/>
        <v>1.0828799999999998</v>
      </c>
      <c r="K44" s="347"/>
      <c r="L44" s="348"/>
      <c r="M44" s="349"/>
      <c r="N44" s="345"/>
      <c r="O44" s="350"/>
    </row>
    <row r="45" spans="1:16" s="50" customFormat="1" ht="13.8">
      <c r="A45" s="50" t="s">
        <v>444</v>
      </c>
      <c r="B45" s="50">
        <v>96</v>
      </c>
      <c r="C45" s="465">
        <f>C44</f>
        <v>1.9199999999999998E-2</v>
      </c>
      <c r="D45" s="345">
        <f t="shared" ref="D45" si="14">C45*B45</f>
        <v>1.8431999999999999</v>
      </c>
      <c r="E45" s="353">
        <f>D45*E$37</f>
        <v>27.648</v>
      </c>
      <c r="F45" s="351">
        <f t="shared" si="13"/>
        <v>0.79199999999999993</v>
      </c>
      <c r="G45" s="351">
        <f t="shared" si="13"/>
        <v>1.0605599999999999</v>
      </c>
      <c r="H45" s="351">
        <f t="shared" si="13"/>
        <v>1.3291200000000001</v>
      </c>
      <c r="I45" s="351">
        <f t="shared" si="13"/>
        <v>1.59768</v>
      </c>
      <c r="J45" s="351">
        <f t="shared" si="13"/>
        <v>1.8662399999999999</v>
      </c>
      <c r="K45" s="347"/>
      <c r="L45" s="348"/>
      <c r="M45" s="349"/>
      <c r="N45" s="345"/>
      <c r="O45" s="350"/>
    </row>
    <row r="46" spans="1:16" s="50" customFormat="1" ht="13.8">
      <c r="A46" s="50" t="s">
        <v>447</v>
      </c>
      <c r="B46" s="50">
        <f>B44</f>
        <v>28</v>
      </c>
      <c r="C46" s="351">
        <v>9.3000000000000007</v>
      </c>
      <c r="D46" s="345"/>
      <c r="E46" s="353"/>
      <c r="F46" s="357">
        <f>F$44/$C46</f>
        <v>8.5161290322580629E-2</v>
      </c>
      <c r="G46" s="357">
        <f t="shared" ref="G46:J49" si="15">G$44/$C46</f>
        <v>9.2980645161290315E-2</v>
      </c>
      <c r="H46" s="357">
        <f t="shared" si="15"/>
        <v>0.10079999999999999</v>
      </c>
      <c r="I46" s="357">
        <f t="shared" si="15"/>
        <v>0.10861935483870966</v>
      </c>
      <c r="J46" s="357">
        <f t="shared" si="15"/>
        <v>0.11643870967741933</v>
      </c>
      <c r="K46" s="347"/>
      <c r="L46" s="348"/>
      <c r="M46" s="349"/>
      <c r="N46" s="345" t="s">
        <v>449</v>
      </c>
      <c r="O46" s="350"/>
    </row>
    <row r="47" spans="1:16" s="50" customFormat="1" ht="13.8">
      <c r="B47" s="50">
        <f t="shared" ref="B47:B49" si="16">B45</f>
        <v>96</v>
      </c>
      <c r="C47" s="351">
        <f>C46</f>
        <v>9.3000000000000007</v>
      </c>
      <c r="D47" s="345"/>
      <c r="E47" s="353"/>
      <c r="F47" s="357">
        <f t="shared" ref="F47:F49" si="17">F$44/$C47</f>
        <v>8.5161290322580629E-2</v>
      </c>
      <c r="G47" s="357">
        <f t="shared" si="15"/>
        <v>9.2980645161290315E-2</v>
      </c>
      <c r="H47" s="357">
        <f t="shared" si="15"/>
        <v>0.10079999999999999</v>
      </c>
      <c r="I47" s="357">
        <f t="shared" si="15"/>
        <v>0.10861935483870966</v>
      </c>
      <c r="J47" s="357">
        <f t="shared" si="15"/>
        <v>0.11643870967741933</v>
      </c>
      <c r="K47" s="347"/>
      <c r="L47" s="348"/>
      <c r="M47" s="349"/>
      <c r="N47" s="345"/>
      <c r="O47" s="350"/>
    </row>
    <row r="48" spans="1:16" s="50" customFormat="1" ht="13.8">
      <c r="A48" s="50" t="s">
        <v>448</v>
      </c>
      <c r="B48" s="50">
        <f t="shared" si="16"/>
        <v>28</v>
      </c>
      <c r="C48" s="352">
        <v>18.38</v>
      </c>
      <c r="D48" s="345"/>
      <c r="E48" s="353"/>
      <c r="F48" s="357">
        <f t="shared" si="17"/>
        <v>4.309031556039173E-2</v>
      </c>
      <c r="G48" s="357">
        <f t="shared" si="15"/>
        <v>4.7046789989118605E-2</v>
      </c>
      <c r="H48" s="357">
        <f t="shared" si="15"/>
        <v>5.1003264417845487E-2</v>
      </c>
      <c r="I48" s="357">
        <f t="shared" si="15"/>
        <v>5.4959738846572362E-2</v>
      </c>
      <c r="J48" s="357">
        <f t="shared" si="15"/>
        <v>5.891621327529923E-2</v>
      </c>
      <c r="K48" s="347"/>
      <c r="L48" s="348"/>
      <c r="M48" s="349"/>
      <c r="N48" s="345"/>
      <c r="O48" s="350"/>
    </row>
    <row r="49" spans="1:15" s="50" customFormat="1" ht="13.8">
      <c r="B49" s="50">
        <f t="shared" si="16"/>
        <v>96</v>
      </c>
      <c r="C49" s="352">
        <v>18.38</v>
      </c>
      <c r="D49" s="345"/>
      <c r="E49" s="353"/>
      <c r="F49" s="357">
        <f t="shared" si="17"/>
        <v>4.309031556039173E-2</v>
      </c>
      <c r="G49" s="357">
        <f t="shared" si="15"/>
        <v>4.7046789989118605E-2</v>
      </c>
      <c r="H49" s="357">
        <f t="shared" si="15"/>
        <v>5.1003264417845487E-2</v>
      </c>
      <c r="I49" s="357">
        <f t="shared" si="15"/>
        <v>5.4959738846572362E-2</v>
      </c>
      <c r="J49" s="357">
        <f t="shared" si="15"/>
        <v>5.891621327529923E-2</v>
      </c>
      <c r="K49" s="347"/>
      <c r="L49" s="348"/>
      <c r="M49" s="349"/>
      <c r="N49" s="345"/>
      <c r="O49" s="350"/>
    </row>
    <row r="51" spans="1:15">
      <c r="A51" s="344" t="s">
        <v>445</v>
      </c>
      <c r="B51" s="355">
        <v>1.9199999999999998E-2</v>
      </c>
    </row>
    <row r="52" spans="1:15">
      <c r="A52" s="344" t="s">
        <v>446</v>
      </c>
      <c r="B52" s="356">
        <f>B51</f>
        <v>1.9199999999999998E-2</v>
      </c>
    </row>
  </sheetData>
  <sortState xmlns:xlrd2="http://schemas.microsoft.com/office/spreadsheetml/2017/richdata2" ref="A2:AB27">
    <sortCondition ref="A2:A27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elec</vt:lpstr>
      <vt:lpstr>GHGI</vt:lpstr>
      <vt:lpstr>Dams</vt:lpstr>
      <vt:lpstr>density</vt:lpstr>
      <vt:lpstr>GHGI!Print_Area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2004-07-20T21:40:42Z</dcterms:created>
  <dcterms:modified xsi:type="dcterms:W3CDTF">2021-01-10T21:10:20Z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6.5.4.0430 (http://officewriter.softartisans.com)</vt:lpwstr>
  </property>
</Properties>
</file>